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Nata\NATA\chistkluchy\От Стрениной\"/>
    </mc:Choice>
  </mc:AlternateContent>
  <xr:revisionPtr revIDLastSave="0" documentId="8_{0604E85E-E77A-42D3-AC7D-A720CED6C10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ДДС на 30.09.2022" sheetId="10" r:id="rId1"/>
    <sheet name="Лист2" sheetId="5" state="hidden" r:id="rId2"/>
    <sheet name="Лист1" sheetId="4" state="hidden" r:id="rId3"/>
    <sheet name="Отчет Образцово Юг" sheetId="2" state="hidden" r:id="rId4"/>
  </sheets>
  <externalReferences>
    <externalReference r:id="rId5"/>
  </externalReferences>
  <definedNames>
    <definedName name="_xlnm._FilterDatabase" localSheetId="2" hidden="1">Лист1!$B$12:$L$25</definedName>
  </definedName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" i="10" l="1"/>
  <c r="G5" i="10"/>
  <c r="G4" i="10" s="1"/>
  <c r="G6" i="10"/>
  <c r="G9" i="10"/>
  <c r="G7" i="10"/>
  <c r="H11" i="10"/>
  <c r="H31" i="10"/>
  <c r="H43" i="10"/>
  <c r="H35" i="10"/>
  <c r="H15" i="10" s="1"/>
  <c r="H10" i="10" s="1"/>
  <c r="H41" i="10"/>
  <c r="H45" i="10"/>
  <c r="H22" i="10"/>
  <c r="K36" i="10"/>
  <c r="K26" i="10"/>
  <c r="G19" i="10"/>
  <c r="G15" i="10" s="1"/>
  <c r="G10" i="10" s="1"/>
  <c r="G43" i="10"/>
  <c r="G11" i="10"/>
  <c r="D4" i="10"/>
  <c r="D19" i="10"/>
  <c r="K19" i="10" s="1"/>
  <c r="D22" i="10"/>
  <c r="D15" i="10" s="1"/>
  <c r="E4" i="10"/>
  <c r="E22" i="10"/>
  <c r="E29" i="10"/>
  <c r="E32" i="10"/>
  <c r="K32" i="10" s="1"/>
  <c r="E48" i="10"/>
  <c r="E15" i="10" s="1"/>
  <c r="E10" i="10" s="1"/>
  <c r="F9" i="10"/>
  <c r="F4" i="10"/>
  <c r="F19" i="10"/>
  <c r="F22" i="10"/>
  <c r="F15" i="10" s="1"/>
  <c r="F10" i="10" s="1"/>
  <c r="F31" i="10"/>
  <c r="K31" i="10" s="1"/>
  <c r="F34" i="10"/>
  <c r="K34" i="10" s="1"/>
  <c r="F11" i="10"/>
  <c r="K7" i="10"/>
  <c r="I4" i="10"/>
  <c r="J4" i="10"/>
  <c r="K47" i="10"/>
  <c r="I15" i="10"/>
  <c r="I10" i="10" s="1"/>
  <c r="J15" i="10"/>
  <c r="J10" i="10"/>
  <c r="K46" i="10"/>
  <c r="K44" i="10"/>
  <c r="K45" i="10"/>
  <c r="K37" i="10"/>
  <c r="K38" i="10"/>
  <c r="K39" i="10"/>
  <c r="K40" i="10"/>
  <c r="K41" i="10"/>
  <c r="K42" i="10"/>
  <c r="K33" i="10"/>
  <c r="K43" i="10"/>
  <c r="K16" i="10"/>
  <c r="K17" i="10"/>
  <c r="K18" i="10"/>
  <c r="K20" i="10"/>
  <c r="K21" i="10"/>
  <c r="K22" i="10"/>
  <c r="K23" i="10"/>
  <c r="K24" i="10"/>
  <c r="K25" i="10"/>
  <c r="K27" i="10"/>
  <c r="K28" i="10"/>
  <c r="K29" i="10"/>
  <c r="K30" i="10"/>
  <c r="K5" i="10"/>
  <c r="K6" i="10"/>
  <c r="K9" i="10"/>
  <c r="K12" i="10"/>
  <c r="K13" i="10"/>
  <c r="K51" i="10"/>
  <c r="K52" i="10"/>
  <c r="K53" i="10"/>
  <c r="C53" i="10"/>
  <c r="C52" i="10"/>
  <c r="D52" i="10" s="1"/>
  <c r="E52" i="10" s="1"/>
  <c r="F52" i="10" s="1"/>
  <c r="G52" i="10" s="1"/>
  <c r="H52" i="10" s="1"/>
  <c r="I52" i="10" s="1"/>
  <c r="J52" i="10" s="1"/>
  <c r="C51" i="10"/>
  <c r="D53" i="10"/>
  <c r="E53" i="10" s="1"/>
  <c r="F53" i="10" s="1"/>
  <c r="G53" i="10" s="1"/>
  <c r="H53" i="10" s="1"/>
  <c r="I53" i="10" s="1"/>
  <c r="J53" i="10" s="1"/>
  <c r="D51" i="10"/>
  <c r="E51" i="10"/>
  <c r="F51" i="10" s="1"/>
  <c r="G51" i="10" s="1"/>
  <c r="H51" i="10" s="1"/>
  <c r="I51" i="10" s="1"/>
  <c r="J51" i="10" s="1"/>
  <c r="L5" i="2"/>
  <c r="L35" i="2" s="1"/>
  <c r="F12" i="2"/>
  <c r="F14" i="2"/>
  <c r="N31" i="2"/>
  <c r="L31" i="2"/>
  <c r="K31" i="2"/>
  <c r="J31" i="2"/>
  <c r="I31" i="2"/>
  <c r="H31" i="2"/>
  <c r="F31" i="2"/>
  <c r="E31" i="2"/>
  <c r="D31" i="2"/>
  <c r="C31" i="2"/>
  <c r="O31" i="2" s="1"/>
  <c r="N23" i="2"/>
  <c r="N20" i="2" s="1"/>
  <c r="M23" i="2"/>
  <c r="M20" i="2" s="1"/>
  <c r="M33" i="2" s="1"/>
  <c r="M35" i="2" s="1"/>
  <c r="L23" i="2"/>
  <c r="K23" i="2"/>
  <c r="J23" i="2"/>
  <c r="I23" i="2"/>
  <c r="H23" i="2"/>
  <c r="G23" i="2"/>
  <c r="F23" i="2"/>
  <c r="E24" i="2"/>
  <c r="D23" i="2"/>
  <c r="J21" i="2"/>
  <c r="I21" i="2"/>
  <c r="H21" i="2"/>
  <c r="G21" i="2"/>
  <c r="F21" i="2"/>
  <c r="F20" i="2" s="1"/>
  <c r="E21" i="2"/>
  <c r="E20" i="2" s="1"/>
  <c r="E33" i="2" s="1"/>
  <c r="D21" i="2"/>
  <c r="O21" i="2" s="1"/>
  <c r="C21" i="2"/>
  <c r="N27" i="2"/>
  <c r="N22" i="2"/>
  <c r="N24" i="2"/>
  <c r="N17" i="2"/>
  <c r="O17" i="2" s="1"/>
  <c r="N18" i="2"/>
  <c r="M27" i="2"/>
  <c r="M24" i="2"/>
  <c r="L12" i="2"/>
  <c r="M12" i="2"/>
  <c r="K26" i="2"/>
  <c r="K18" i="2"/>
  <c r="L18" i="2"/>
  <c r="L15" i="2" s="1"/>
  <c r="L33" i="2" s="1"/>
  <c r="K24" i="2"/>
  <c r="K20" i="2" s="1"/>
  <c r="K33" i="2" s="1"/>
  <c r="K35" i="2" s="1"/>
  <c r="J26" i="2"/>
  <c r="I18" i="2"/>
  <c r="I15" i="2" s="1"/>
  <c r="I33" i="2" s="1"/>
  <c r="I35" i="2" s="1"/>
  <c r="H24" i="2"/>
  <c r="G25" i="2"/>
  <c r="G24" i="2"/>
  <c r="G26" i="2"/>
  <c r="E23" i="2"/>
  <c r="F27" i="2"/>
  <c r="O27" i="2" s="1"/>
  <c r="F24" i="2"/>
  <c r="F26" i="2"/>
  <c r="F19" i="2"/>
  <c r="D18" i="2"/>
  <c r="D24" i="2"/>
  <c r="D26" i="2"/>
  <c r="C23" i="2"/>
  <c r="J24" i="2"/>
  <c r="C26" i="2"/>
  <c r="O26" i="2" s="1"/>
  <c r="N16" i="2"/>
  <c r="O16" i="2" s="1"/>
  <c r="H16" i="2"/>
  <c r="F18" i="2"/>
  <c r="F16" i="2"/>
  <c r="K12" i="2"/>
  <c r="J12" i="2"/>
  <c r="J11" i="2" s="1"/>
  <c r="I12" i="2"/>
  <c r="I11" i="2" s="1"/>
  <c r="H12" i="2"/>
  <c r="H11" i="2" s="1"/>
  <c r="G12" i="2"/>
  <c r="G33" i="2" s="1"/>
  <c r="E12" i="2"/>
  <c r="D12" i="2"/>
  <c r="C12" i="2"/>
  <c r="G3" i="2"/>
  <c r="F3" i="2"/>
  <c r="D3" i="2"/>
  <c r="O3" i="2" s="1"/>
  <c r="O5" i="2" s="1"/>
  <c r="E3" i="2"/>
  <c r="E5" i="2" s="1"/>
  <c r="E35" i="2" s="1"/>
  <c r="C11" i="2"/>
  <c r="O28" i="2"/>
  <c r="B11" i="2"/>
  <c r="O32" i="2"/>
  <c r="B20" i="2"/>
  <c r="B15" i="2"/>
  <c r="B33" i="2" s="1"/>
  <c r="B8" i="2"/>
  <c r="F5" i="2"/>
  <c r="G5" i="2"/>
  <c r="H5" i="2"/>
  <c r="I5" i="2"/>
  <c r="J5" i="2"/>
  <c r="K5" i="2"/>
  <c r="M5" i="2"/>
  <c r="N5" i="2"/>
  <c r="C5" i="2"/>
  <c r="I42" i="2"/>
  <c r="L11" i="2"/>
  <c r="M11" i="2"/>
  <c r="N11" i="2"/>
  <c r="D11" i="2"/>
  <c r="E11" i="2"/>
  <c r="F11" i="2"/>
  <c r="G11" i="2"/>
  <c r="K11" i="2"/>
  <c r="O29" i="2"/>
  <c r="N5" i="5"/>
  <c r="M5" i="5"/>
  <c r="L5" i="5"/>
  <c r="K5" i="5"/>
  <c r="J5" i="5"/>
  <c r="I5" i="5"/>
  <c r="H5" i="5"/>
  <c r="G5" i="5"/>
  <c r="F5" i="5"/>
  <c r="E5" i="5"/>
  <c r="D5" i="5"/>
  <c r="C5" i="5"/>
  <c r="O4" i="5"/>
  <c r="O3" i="5"/>
  <c r="O5" i="5"/>
  <c r="C20" i="2"/>
  <c r="H20" i="2"/>
  <c r="L20" i="2"/>
  <c r="J15" i="2"/>
  <c r="H15" i="2"/>
  <c r="E15" i="2"/>
  <c r="H49" i="4"/>
  <c r="F15" i="2"/>
  <c r="G15" i="2"/>
  <c r="M15" i="2"/>
  <c r="G20" i="2"/>
  <c r="I20" i="2"/>
  <c r="J20" i="2"/>
  <c r="J33" i="2" s="1"/>
  <c r="J35" i="2" s="1"/>
  <c r="D15" i="2"/>
  <c r="D8" i="2"/>
  <c r="E8" i="2"/>
  <c r="F8" i="2"/>
  <c r="G8" i="2"/>
  <c r="H8" i="2"/>
  <c r="I8" i="2"/>
  <c r="J8" i="2"/>
  <c r="K8" i="2"/>
  <c r="L8" i="2"/>
  <c r="M8" i="2"/>
  <c r="N8" i="2"/>
  <c r="C8" i="2"/>
  <c r="K15" i="2"/>
  <c r="C15" i="2"/>
  <c r="O10" i="2"/>
  <c r="O14" i="2"/>
  <c r="O19" i="2"/>
  <c r="O22" i="2"/>
  <c r="O23" i="2"/>
  <c r="O24" i="2"/>
  <c r="O25" i="2"/>
  <c r="O30" i="2"/>
  <c r="O9" i="2"/>
  <c r="O8" i="2" s="1"/>
  <c r="C33" i="2"/>
  <c r="C35" i="2"/>
  <c r="C37" i="2" s="1"/>
  <c r="C36" i="2"/>
  <c r="J37" i="2" l="1"/>
  <c r="J36" i="2"/>
  <c r="I36" i="2"/>
  <c r="I37" i="2" s="1"/>
  <c r="M36" i="2"/>
  <c r="M37" i="2" s="1"/>
  <c r="K36" i="2"/>
  <c r="K37" i="2" s="1"/>
  <c r="K15" i="10"/>
  <c r="D10" i="10"/>
  <c r="F33" i="2"/>
  <c r="K4" i="10"/>
  <c r="L36" i="2"/>
  <c r="L37" i="2"/>
  <c r="E36" i="2"/>
  <c r="E37" i="2" s="1"/>
  <c r="G35" i="2"/>
  <c r="F35" i="2"/>
  <c r="K35" i="10"/>
  <c r="D5" i="2"/>
  <c r="O12" i="2"/>
  <c r="O18" i="2"/>
  <c r="O15" i="2" s="1"/>
  <c r="D20" i="2"/>
  <c r="D33" i="2" s="1"/>
  <c r="K48" i="10"/>
  <c r="H33" i="2"/>
  <c r="H35" i="2" s="1"/>
  <c r="N15" i="2"/>
  <c r="N33" i="2" s="1"/>
  <c r="N35" i="2" s="1"/>
  <c r="N37" i="2" l="1"/>
  <c r="N36" i="2"/>
  <c r="K10" i="10"/>
  <c r="D49" i="10"/>
  <c r="E49" i="10" s="1"/>
  <c r="F49" i="10" s="1"/>
  <c r="G49" i="10" s="1"/>
  <c r="H49" i="10" s="1"/>
  <c r="I49" i="10" s="1"/>
  <c r="J49" i="10" s="1"/>
  <c r="D50" i="10"/>
  <c r="E50" i="10" s="1"/>
  <c r="F50" i="10" s="1"/>
  <c r="G50" i="10" s="1"/>
  <c r="H50" i="10" s="1"/>
  <c r="I50" i="10" s="1"/>
  <c r="J50" i="10" s="1"/>
  <c r="H36" i="2"/>
  <c r="H37" i="2" s="1"/>
  <c r="F36" i="2"/>
  <c r="F37" i="2" s="1"/>
  <c r="G36" i="2"/>
  <c r="G37" i="2"/>
  <c r="O11" i="2"/>
  <c r="O20" i="2"/>
  <c r="O33" i="2" s="1"/>
  <c r="O35" i="2" s="1"/>
  <c r="D35" i="2"/>
  <c r="O36" i="2" l="1"/>
  <c r="O37" i="2"/>
  <c r="D36" i="2"/>
  <c r="D37" i="2" s="1"/>
</calcChain>
</file>

<file path=xl/sharedStrings.xml><?xml version="1.0" encoding="utf-8"?>
<sst xmlns="http://schemas.openxmlformats.org/spreadsheetml/2006/main" count="269" uniqueCount="183">
  <si>
    <t>Период</t>
  </si>
  <si>
    <t>Итого</t>
  </si>
  <si>
    <t xml:space="preserve">Доход </t>
  </si>
  <si>
    <t>Итого доход (-расход)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</si>
  <si>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</si>
  <si>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</si>
  <si>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</si>
  <si>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</si>
  <si>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</si>
  <si>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</si>
  <si>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</si>
  <si>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</si>
  <si>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</si>
  <si>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</si>
  <si>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</si>
  <si>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</si>
  <si>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 xml:space="preserve">Итого доход </t>
  </si>
  <si>
    <t>Расходы по энергоснабжению по 29,35 дому_Мосэнергосбыт</t>
  </si>
  <si>
    <t>Доходы по энергоснабжению по 29,35 дому</t>
  </si>
  <si>
    <t>1. Расходы на управленческий и административный персонал (Комендант, Бухгалтер, Главный инженер, Специалист по благоустройству. Перечисленные сотрудники в доле от общих расходов)</t>
  </si>
  <si>
    <t>ФОТ</t>
  </si>
  <si>
    <t>Аттестация/переаттестация сотрудников</t>
  </si>
  <si>
    <t>2. Расходы на персонал, непосредственно занятый на объекте (Сантехники, электрики, тракторист, разнорабочие-дворники)</t>
  </si>
  <si>
    <t xml:space="preserve">Приобретение спецодежды (по 2 комплекта (зима-лето) на одного сотрудника) </t>
  </si>
  <si>
    <t>Специализированное оборудование и инструмент</t>
  </si>
  <si>
    <t>Материальные расходы по эксплуатации и техническому обслуживванию объекта</t>
  </si>
  <si>
    <t>Обслуживание системы видеонаблюдения</t>
  </si>
  <si>
    <t>Вывоз мусора</t>
  </si>
  <si>
    <t>Вывоз снега</t>
  </si>
  <si>
    <t>Аренда спецтехники трактора</t>
  </si>
  <si>
    <t>ГСМ и транспортные расходы</t>
  </si>
  <si>
    <t xml:space="preserve">Расходный материал по благоустройству (удобрения, подкормка, средства по борьбе с вредителями) на содержание прогулочной зоны и газонов </t>
  </si>
  <si>
    <t>Инвентарь (лопаты, метлы, грабли, ломы, тяпки, ведра, шланги, оборудование  для опрыскивания и т.д.)</t>
  </si>
  <si>
    <t>Расходные материалы для санитарного содержания территории (круглогодично)</t>
  </si>
  <si>
    <t>Услуги по регистрационному учету (МУП "ЕРЦ ЖКХ")</t>
  </si>
  <si>
    <t>Общеэксплуатационные и административные расходы УК КН</t>
  </si>
  <si>
    <t>ООО "ОБРАЗЦОВО ЮГ"</t>
  </si>
  <si>
    <t>Карточка счета 20 за Январь 2020 г.</t>
  </si>
  <si>
    <t>Выводимые данные:</t>
  </si>
  <si>
    <t>БУ (данные бухгалтерского учета)</t>
  </si>
  <si>
    <t>Отбор:</t>
  </si>
  <si>
    <t>Подразделение Равно "Домодедово Таун ЖК" И Номенклатурные группы Равно "Эксплуатация, ТО и благоустройство: Домодедово Таун" И Статьи затрат Равно "Благоустройство и хоз.расходы"</t>
  </si>
  <si>
    <t>Документ</t>
  </si>
  <si>
    <t>Аналитика Дт</t>
  </si>
  <si>
    <t>Аналитика Кт</t>
  </si>
  <si>
    <t>Дебет</t>
  </si>
  <si>
    <t>Кредит</t>
  </si>
  <si>
    <t>Текущее сальдо</t>
  </si>
  <si>
    <t>Счет</t>
  </si>
  <si>
    <t>Сальдо на начало</t>
  </si>
  <si>
    <t>16.01.2020</t>
  </si>
  <si>
    <t>Поступление (акт, накладная, УПД) КНБП-000002 от 16.01.2020 12:00:00
Техническая соль, гранитный щебень по вх.д. 161/005 от 16.01.2020</t>
  </si>
  <si>
    <t>Домодедово Таун ЖК
Эксплуатация, ТО и благоустройство: Домодедово Таун
Благоустройство и хоз.расходы
&lt;...&gt;</t>
  </si>
  <si>
    <t>ОПТ6 ООО
Счет
Поступление (акт, накладная, УПД) КНБП-000002 от 16.01.2020 12:00:00</t>
  </si>
  <si>
    <t>20.01</t>
  </si>
  <si>
    <t>60.01</t>
  </si>
  <si>
    <t>21.01.2020</t>
  </si>
  <si>
    <t>Поступление (акт, накладная, УПД) КНБП-000021 от 21.01.2020 12:00:33
Техническое обслуживание, ремонт трактора  по вх.д. ЦБ-147 от 21.01.2020</t>
  </si>
  <si>
    <t>ДОМИНАНТ ООО
Основной договор
Поступление (акт, накладная, УПД) КНБП-000021 от 21.01.2020 12:00:33</t>
  </si>
  <si>
    <t>23.01.2020</t>
  </si>
  <si>
    <t>Поступление (акт, накладная, УПД) КНБП-000029 от 23.01.2020 12:00:17
Техническое обслуживание, ремонт трактора _каданный вал по вх.д.  от 23.01.2020</t>
  </si>
  <si>
    <t>ДОМИНАНТ ООО
Основной договор
Поступление (акт, накладная, УПД) КНБП-000029 от 23.01.2020 12:00:17</t>
  </si>
  <si>
    <t>Передача материалов в эксплуатацию КНБП-000002 от 23.01.2020 12:00:19
Передача инвентаря в эксплуатацию</t>
  </si>
  <si>
    <t>Амперметр
Поступление (акт, накладная, УПД) КНБП-000115 от 23.01.2020 12:00:18
Домодедово Таун</t>
  </si>
  <si>
    <t>10.09</t>
  </si>
  <si>
    <t>Насос фекальный 
Поступление (акт, накладная, УПД) КНБП-000019 от 20.01.2020 1:09:27
Домодедово Таун</t>
  </si>
  <si>
    <t>31.01.2020</t>
  </si>
  <si>
    <t>Расход материалов КНБП-000003 от 31.01.2020 23:46:35
Списание материалов в производство</t>
  </si>
  <si>
    <t>Бензин-92 ДТ
Поступление (акт, накладная, УПД) КНБП-000025 от 31.01.2020 23:46:34
Домодедово Таун</t>
  </si>
  <si>
    <t>10.03.1</t>
  </si>
  <si>
    <t>Дизтопливо
Поступление (акт, накладная, УПД) КНБП-000025 от 31.01.2020 23:46:34
Домодедово Таун</t>
  </si>
  <si>
    <t>Поступление (акт, накладная, УПД) КНБП-000026 от 31.01.2020 23:46:36
Консультационные, информационные услуги по вх.д. ЛК-2640 от 31.01.2020</t>
  </si>
  <si>
    <t>АВТОСНАБЖЕНЕЦ ООО
RU245034783-17 от 28.02.2018
Поступление (акт, накладная, УПД) КНБП-000026 от 31.01.2020 23:46:36</t>
  </si>
  <si>
    <t>Поступление (акт, накладная, УПД) КНБП-000039 от 31.01.2020 23:47:02
Вывоз мусора, снега по вх.д. 1 от 31.01.2020</t>
  </si>
  <si>
    <t>АВТО-ГАРАНТ ООО
Счет
Поступление (акт, накладная, УПД) КНБП-000039 от 31.01.2020 23:47:02</t>
  </si>
  <si>
    <t>Расход материалов КНБП-000010 от 31.01.2020 23:59:59
Списание материалов в производство</t>
  </si>
  <si>
    <t>Насос фекальный 
Поступление (акт, накладная, УПД) КНБП-000115 от 23.01.2020 12:00:18
Домодедово Таун</t>
  </si>
  <si>
    <t>Насос центроб КАЛИБР
Поступление (акт, накладная, УПД) КНБП-000019 от 20.01.2020 1:09:27
Домодедово Таун</t>
  </si>
  <si>
    <t>Обороты за период и сальдо на конец</t>
  </si>
  <si>
    <t>Карточка счета 20 за Март 2020 г.</t>
  </si>
  <si>
    <t>Подразделение Равно "Домодедово Таун ЖК" И Номенклатурные группы Равно "Эксплуатация, ТО и благоустройство: Домодедово Таун" И Статьи затрат Равно "Текущий ремонт"</t>
  </si>
  <si>
    <t>01.03.2020</t>
  </si>
  <si>
    <t>Операция КНБП-000112 от 01.03.2020 12:00:06
Ремонт воздуходувки по вх.д. БИУТ-47 от 30.04.2019</t>
  </si>
  <si>
    <t>Домодедово Таун ЖК
Эксплуатация, ТО и благоустройство: Домодедово Таун
Текущий ремонт
&lt;...&gt;</t>
  </si>
  <si>
    <t>Лютова Наталья Васильевна
Счет
Поступление (акт, накладная, УПД) КНБП-000166 от 30.04.2019 12:00:46</t>
  </si>
  <si>
    <t>Расход материалов КНБП-000016 от 01.03.2020 12:00:07
Списание материалов в производство</t>
  </si>
  <si>
    <t>Замок
Поступление (акт, накладная, УПД) КНБП-000124 от 01.03.2020 0:00:00
Домодедово Таун</t>
  </si>
  <si>
    <t>10.01</t>
  </si>
  <si>
    <t>05.03.2020</t>
  </si>
  <si>
    <t>Поступление (акт, накладная, УПД) КНБП-000125 от 05.03.2020 0:00:29
Ремонт качелей (пружина) по вх.д. 22 от 05.03.2020</t>
  </si>
  <si>
    <t>ЗАБАВА ООО ГК
 УТ -44 от 26 февраля 2020 
Поступление (акт, накладная, УПД) КНБП-000125 от 05.03.2020 0:00:29</t>
  </si>
  <si>
    <t>24.03.2020</t>
  </si>
  <si>
    <t>Расход материалов КНБП-000020 от 24.03.2020 12:00:14
Списание материалов в производство</t>
  </si>
  <si>
    <t>Дрель Makita 
Поступление (акт, накладная, УПД) КНБП-000098 от 24.03.2020 12:00:04
Домодедово Таун</t>
  </si>
  <si>
    <t>Набор отверток
Поступление (акт, накладная, УПД) КНБП-000098 от 24.03.2020 12:00:04
Домодедово Таун</t>
  </si>
  <si>
    <t>Клещи
Поступление (акт, накладная, УПД) КНБП-000098 от 24.03.2020 12:00:04
Домодедово Таун</t>
  </si>
  <si>
    <t>Набор инструмента
Поступление (акт, накладная, УПД) КНБП-000098 от 24.03.2020 12:00:04
Домодедово Таун</t>
  </si>
  <si>
    <t>Сумка для инструментов
Поступление (акт, накладная, УПД) КНБП-000098 от 24.03.2020 12:00:04
Домодедово Таун</t>
  </si>
  <si>
    <t>Ренабельность объекта</t>
  </si>
  <si>
    <t>Прибыль</t>
  </si>
  <si>
    <t>Налог на доходы_15%</t>
  </si>
  <si>
    <t>по договору на содержание и текущему ремонту</t>
  </si>
  <si>
    <t>Задолженность ПУЭСК перед ООО "Образцово Юг" составляет:</t>
  </si>
  <si>
    <t>Итого задолженность</t>
  </si>
  <si>
    <t>Оперативно-техническое обслуживание электрооборудования</t>
  </si>
  <si>
    <t>Охрана КП "Каскад Парк"</t>
  </si>
  <si>
    <t>Обслуживание КФ-онлайн.</t>
  </si>
  <si>
    <t>ФОТ персонала объекта "Каскад Парк"</t>
  </si>
  <si>
    <t>3. Услуги по техническому обслуживанию КП "Каскад Парк"</t>
  </si>
  <si>
    <t>4. Санитарное содержание и благоустройство КП "Каскад Парк"</t>
  </si>
  <si>
    <t>Расходы ООО "Образцово Юг" по обслуживанию КП "Каскад Парк"</t>
  </si>
  <si>
    <t>Оказание услуг по содержанию общего имущества ПУЭСК Каскад Парк</t>
  </si>
  <si>
    <t>Итого расходов Образцово Юг по КП "Каскад Парк"</t>
  </si>
  <si>
    <t>план ежемесячный</t>
  </si>
  <si>
    <t>на 31.12.2021</t>
  </si>
  <si>
    <t>Отчет по доходам и расходам за период с 01.01.2021 по 31.12.2021 (руб.)</t>
  </si>
  <si>
    <t>КП</t>
  </si>
  <si>
    <t>ДТ</t>
  </si>
  <si>
    <t>Компенсация вывоза мусора за период с 01.08.2020 по 31.08.2021</t>
  </si>
  <si>
    <t>тыс.руб.</t>
  </si>
  <si>
    <t>№</t>
  </si>
  <si>
    <t>Наименование / Период</t>
  </si>
  <si>
    <t>1.</t>
  </si>
  <si>
    <t>Поступление денежных средств, всего</t>
  </si>
  <si>
    <t>КН</t>
  </si>
  <si>
    <t>1.1.</t>
  </si>
  <si>
    <t>1.2.</t>
  </si>
  <si>
    <t>Поступление за коммунальные ресурсы</t>
  </si>
  <si>
    <t>2.</t>
  </si>
  <si>
    <t>Расход денежных средств, всего</t>
  </si>
  <si>
    <t>2.1.</t>
  </si>
  <si>
    <t>2.2.</t>
  </si>
  <si>
    <t>2.3.</t>
  </si>
  <si>
    <t>3.</t>
  </si>
  <si>
    <t>Сальдо денежных средств за период</t>
  </si>
  <si>
    <t>3.1.</t>
  </si>
  <si>
    <t>Отчет о движении денежных средств КП Чистые Ключи за 2022 года</t>
  </si>
  <si>
    <t>остаток денежных средств на начало  периода</t>
  </si>
  <si>
    <t>Поступление членские взносы содержание поселка</t>
  </si>
  <si>
    <t>Поступление за вьезд автотранспорта</t>
  </si>
  <si>
    <t>На выдачу подотчетных сумм</t>
  </si>
  <si>
    <t>На услуги банков</t>
  </si>
  <si>
    <t>На оплату поставщикам за</t>
  </si>
  <si>
    <t>За блок контейнеры, шлагбаум, турникет (ООО Офис ДК)</t>
  </si>
  <si>
    <t>За электронный документооборот</t>
  </si>
  <si>
    <t>Оплата за бухгалтерские услуги</t>
  </si>
  <si>
    <t>Оплата за услуги управляющего поселком</t>
  </si>
  <si>
    <t>На выдачу зарплаты и налогов с ФОТ</t>
  </si>
  <si>
    <t>За материалы, инструмент</t>
  </si>
  <si>
    <t>за шкафы водораспределительный, фонари, опоры (ООО Офис ДК)</t>
  </si>
  <si>
    <t>За Домиленд, эл.документооборот</t>
  </si>
  <si>
    <t>Прочие услуги</t>
  </si>
  <si>
    <t>За велосипеды</t>
  </si>
  <si>
    <t>За вывоз мусора</t>
  </si>
  <si>
    <t>За десинсекцию</t>
  </si>
  <si>
    <t>Ремонт шлагбаума</t>
  </si>
  <si>
    <t>Россгвардия</t>
  </si>
  <si>
    <t>За оказание юридической помощи (БОБРОВ, ТОЛСТОВ И ПАРТНЕРЫ АБ, Погодина)</t>
  </si>
  <si>
    <t>Оплата энергетику</t>
  </si>
  <si>
    <t>За электроэнергию</t>
  </si>
  <si>
    <t>За газ</t>
  </si>
  <si>
    <t>Ремонт КПП</t>
  </si>
  <si>
    <t>1.3.</t>
  </si>
  <si>
    <t>1.4.</t>
  </si>
  <si>
    <t>Дополнительные услуги</t>
  </si>
  <si>
    <t>Расходы с регистрацией трактора</t>
  </si>
  <si>
    <t>ТО газопровода</t>
  </si>
  <si>
    <t>За изготовление копий (МОСГОРГЕОТРЕСТ ГБУ), БТИ</t>
  </si>
  <si>
    <t>Аренда земди</t>
  </si>
  <si>
    <t>Спецодежда</t>
  </si>
  <si>
    <t>Покупка основных средств (прицеп)</t>
  </si>
  <si>
    <t>ГСМ</t>
  </si>
  <si>
    <t>2.4.</t>
  </si>
  <si>
    <t>Налог на доходы</t>
  </si>
  <si>
    <t>Кассовый аппарат</t>
  </si>
  <si>
    <t xml:space="preserve">За услуги охраны и автопатруль </t>
  </si>
  <si>
    <t>за триммер, снегоубощики  и запчасти</t>
  </si>
  <si>
    <t>Прочистка канализации, диагностику воздуходувки</t>
  </si>
  <si>
    <t>Лизинговые платежи, включая страховые выплаты</t>
  </si>
  <si>
    <t>Видеорегистраторы и видеокамеры (ООО Офис ДК, Видеомир)</t>
  </si>
  <si>
    <t>За мотопомпу, насос</t>
  </si>
  <si>
    <t>Канцтовары, офисные расходы</t>
  </si>
  <si>
    <t>Прочие поступления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</si>
</sst>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₽_-;\-* #,##0.00\ _₽_-;_-* &quot;-&quot;??\ _₽_-;_-@_-"/>
    <numFmt numFmtId="165" formatCode="#,##0.00\ _₽"/>
    <numFmt numFmtId="166" formatCode="_-* #,##0.00_р_._-;\-* #,##0.00_р_._-;_-* &quot;-&quot;??_р_._-;_-@_-"/>
    <numFmt numFmtId="167" formatCode="_-* #,##0\ _₽_-;\-* #,##0\ _₽_-;_-* &quot;-&quot;??\ _₽_-;_-@_-"/>
  </numFmts>
  <fonts count="3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</font>
    <font>
      <b/>
      <sz val="11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1"/>
      <color rgb="FFFF0000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Arial Cyr"/>
      <charset val="204"/>
    </font>
    <font>
      <sz val="9"/>
      <color rgb="FFFF0000"/>
      <name val="Arial"/>
      <family val="2"/>
      <charset val="204"/>
    </font>
    <font>
      <b/>
      <sz val="12"/>
      <name val="Arial"/>
      <family val="2"/>
      <charset val="204"/>
    </font>
    <font>
      <sz val="8"/>
      <name val="Arial"/>
      <family val="2"/>
      <charset val="204"/>
    </font>
    <font>
      <sz val="10"/>
      <color indexed="21"/>
      <name val="Arial"/>
      <family val="2"/>
      <charset val="204"/>
    </font>
    <font>
      <sz val="9"/>
      <name val="Arial"/>
      <family val="2"/>
      <charset val="204"/>
    </font>
    <font>
      <b/>
      <sz val="10"/>
      <color indexed="21"/>
      <name val="Arial"/>
      <family val="2"/>
      <charset val="204"/>
    </font>
    <font>
      <sz val="9"/>
      <color indexed="10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1"/>
      <name val="Arial"/>
      <family val="2"/>
      <charset val="204"/>
    </font>
    <font>
      <sz val="11"/>
      <name val="Arial Cyr"/>
      <charset val="204"/>
    </font>
    <font>
      <b/>
      <sz val="1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2"/>
      <name val="Arial"/>
      <family val="2"/>
      <charset val="204"/>
    </font>
    <font>
      <b/>
      <i/>
      <sz val="12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0"/>
      </left>
      <right/>
      <top style="thin">
        <color indexed="60"/>
      </top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/>
      <diagonal/>
    </border>
    <border>
      <left/>
      <right/>
      <top style="thin">
        <color indexed="60"/>
      </top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0"/>
      </left>
      <right/>
      <top/>
      <bottom style="thin">
        <color indexed="60"/>
      </bottom>
      <diagonal/>
    </border>
    <border>
      <left style="thin">
        <color indexed="60"/>
      </left>
      <right style="thin">
        <color indexed="60"/>
      </right>
      <top/>
      <bottom style="thin">
        <color indexed="60"/>
      </bottom>
      <diagonal/>
    </border>
    <border>
      <left/>
      <right/>
      <top/>
      <bottom style="thin">
        <color indexed="60"/>
      </bottom>
      <diagonal/>
    </border>
    <border>
      <left/>
      <right style="thin">
        <color indexed="60"/>
      </right>
      <top style="thin">
        <color indexed="60"/>
      </top>
      <bottom style="thin">
        <color indexed="60"/>
      </bottom>
      <diagonal/>
    </border>
    <border>
      <left/>
      <right style="thin">
        <color indexed="60"/>
      </right>
      <top/>
      <bottom style="thin">
        <color indexed="60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</borders>
  <cellStyleXfs count="9">
    <xf numFmtId="0" fontId="0" fillId="0" borderId="0"/>
    <xf numFmtId="0" fontId="2" fillId="0" borderId="0"/>
    <xf numFmtId="0" fontId="8" fillId="0" borderId="0"/>
    <xf numFmtId="166" fontId="9" fillId="0" borderId="0" applyFont="0" applyFill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164" fontId="25" fillId="0" borderId="0" applyFont="0" applyFill="0" applyBorder="0" applyAlignment="0" applyProtection="0"/>
  </cellStyleXfs>
  <cellXfs count="178">
    <xf numFmtId="0" fontId="0" fillId="0" borderId="0" xfId="0"/>
    <xf numFmtId="165" fontId="0" fillId="0" borderId="0" xfId="0" applyNumberFormat="1"/>
    <xf numFmtId="0" fontId="1" fillId="0" borderId="1" xfId="0" applyFont="1" applyBorder="1"/>
    <xf numFmtId="0" fontId="0" fillId="0" borderId="1" xfId="0" applyFill="1" applyBorder="1"/>
    <xf numFmtId="0" fontId="0" fillId="0" borderId="1" xfId="0" applyBorder="1"/>
    <xf numFmtId="4" fontId="0" fillId="0" borderId="0" xfId="0" applyNumberFormat="1"/>
    <xf numFmtId="0" fontId="11" fillId="0" borderId="0" xfId="5" applyNumberFormat="1" applyFont="1" applyAlignment="1">
      <alignment wrapText="1"/>
    </xf>
    <xf numFmtId="0" fontId="2" fillId="0" borderId="0" xfId="5"/>
    <xf numFmtId="0" fontId="14" fillId="0" borderId="0" xfId="5" applyNumberFormat="1" applyFont="1" applyAlignment="1">
      <alignment wrapText="1"/>
    </xf>
    <xf numFmtId="0" fontId="15" fillId="0" borderId="0" xfId="5" applyNumberFormat="1" applyFont="1" applyAlignment="1">
      <alignment vertical="top" wrapText="1"/>
    </xf>
    <xf numFmtId="0" fontId="16" fillId="3" borderId="6" xfId="5" applyNumberFormat="1" applyFont="1" applyFill="1" applyBorder="1" applyAlignment="1">
      <alignment vertical="top"/>
    </xf>
    <xf numFmtId="0" fontId="16" fillId="3" borderId="10" xfId="5" applyNumberFormat="1" applyFont="1" applyFill="1" applyBorder="1" applyAlignment="1">
      <alignment vertical="top"/>
    </xf>
    <xf numFmtId="0" fontId="16" fillId="3" borderId="12" xfId="5" applyNumberFormat="1" applyFont="1" applyFill="1" applyBorder="1" applyAlignment="1">
      <alignment horizontal="center" vertical="top"/>
    </xf>
    <xf numFmtId="2" fontId="16" fillId="3" borderId="13" xfId="5" applyNumberFormat="1" applyFont="1" applyFill="1" applyBorder="1" applyAlignment="1">
      <alignment horizontal="right" vertical="top" wrapText="1"/>
    </xf>
    <xf numFmtId="0" fontId="17" fillId="0" borderId="2" xfId="5" applyNumberFormat="1" applyFont="1" applyBorder="1" applyAlignment="1">
      <alignment vertical="top"/>
    </xf>
    <xf numFmtId="0" fontId="17" fillId="0" borderId="2" xfId="5" applyNumberFormat="1" applyFont="1" applyBorder="1" applyAlignment="1">
      <alignment vertical="top" wrapText="1"/>
    </xf>
    <xf numFmtId="0" fontId="17" fillId="0" borderId="2" xfId="5" applyNumberFormat="1" applyFont="1" applyBorder="1" applyAlignment="1">
      <alignment horizontal="left" vertical="top"/>
    </xf>
    <xf numFmtId="0" fontId="17" fillId="0" borderId="12" xfId="5" applyNumberFormat="1" applyFont="1" applyBorder="1" applyAlignment="1">
      <alignment horizontal="center" vertical="top"/>
    </xf>
    <xf numFmtId="0" fontId="17" fillId="0" borderId="13" xfId="5" applyNumberFormat="1" applyFont="1" applyBorder="1" applyAlignment="1">
      <alignment horizontal="right" vertical="top" wrapText="1"/>
    </xf>
    <xf numFmtId="0" fontId="18" fillId="3" borderId="12" xfId="5" applyNumberFormat="1" applyFont="1" applyFill="1" applyBorder="1" applyAlignment="1">
      <alignment horizontal="center" vertical="top"/>
    </xf>
    <xf numFmtId="2" fontId="18" fillId="3" borderId="13" xfId="5" applyNumberFormat="1" applyFont="1" applyFill="1" applyBorder="1" applyAlignment="1">
      <alignment horizontal="right" vertical="top" wrapText="1"/>
    </xf>
    <xf numFmtId="0" fontId="16" fillId="3" borderId="2" xfId="5" applyNumberFormat="1" applyFont="1" applyFill="1" applyBorder="1" applyAlignment="1">
      <alignment vertical="top"/>
    </xf>
    <xf numFmtId="4" fontId="17" fillId="0" borderId="2" xfId="5" applyNumberFormat="1" applyFont="1" applyBorder="1" applyAlignment="1">
      <alignment horizontal="right" vertical="top" wrapText="1"/>
    </xf>
    <xf numFmtId="4" fontId="17" fillId="5" borderId="2" xfId="5" applyNumberFormat="1" applyFont="1" applyFill="1" applyBorder="1" applyAlignment="1">
      <alignment horizontal="right" vertical="top" wrapText="1"/>
    </xf>
    <xf numFmtId="2" fontId="17" fillId="0" borderId="2" xfId="5" applyNumberFormat="1" applyFont="1" applyBorder="1" applyAlignment="1">
      <alignment horizontal="right" vertical="top" wrapText="1"/>
    </xf>
    <xf numFmtId="4" fontId="2" fillId="0" borderId="0" xfId="5" applyNumberFormat="1"/>
    <xf numFmtId="4" fontId="17" fillId="6" borderId="2" xfId="5" applyNumberFormat="1" applyFont="1" applyFill="1" applyBorder="1" applyAlignment="1">
      <alignment horizontal="right" vertical="top" wrapText="1"/>
    </xf>
    <xf numFmtId="165" fontId="0" fillId="0" borderId="1" xfId="0" applyNumberFormat="1" applyBorder="1"/>
    <xf numFmtId="4" fontId="1" fillId="0" borderId="1" xfId="0" applyNumberFormat="1" applyFont="1" applyBorder="1"/>
    <xf numFmtId="0" fontId="10" fillId="0" borderId="1" xfId="0" applyFont="1" applyBorder="1"/>
    <xf numFmtId="4" fontId="13" fillId="0" borderId="1" xfId="1" applyNumberFormat="1" applyFont="1" applyBorder="1" applyAlignment="1">
      <alignment horizontal="right" vertical="top" wrapText="1"/>
    </xf>
    <xf numFmtId="4" fontId="4" fillId="0" borderId="1" xfId="0" applyNumberFormat="1" applyFont="1" applyBorder="1"/>
    <xf numFmtId="0" fontId="5" fillId="0" borderId="1" xfId="0" applyFont="1" applyBorder="1"/>
    <xf numFmtId="165" fontId="6" fillId="0" borderId="1" xfId="0" applyNumberFormat="1" applyFont="1" applyBorder="1"/>
    <xf numFmtId="4" fontId="3" fillId="0" borderId="1" xfId="1" applyNumberFormat="1" applyFont="1" applyBorder="1" applyAlignment="1">
      <alignment horizontal="right" vertical="top" wrapText="1"/>
    </xf>
    <xf numFmtId="165" fontId="5" fillId="0" borderId="1" xfId="0" applyNumberFormat="1" applyFont="1" applyBorder="1"/>
    <xf numFmtId="0" fontId="7" fillId="0" borderId="1" xfId="0" applyFont="1" applyBorder="1" applyAlignment="1">
      <alignment wrapText="1"/>
    </xf>
    <xf numFmtId="49" fontId="11" fillId="2" borderId="1" xfId="2" applyNumberFormat="1" applyFont="1" applyFill="1" applyBorder="1" applyAlignment="1">
      <alignment vertical="center" wrapText="1"/>
    </xf>
    <xf numFmtId="49" fontId="8" fillId="0" borderId="1" xfId="2" applyNumberFormat="1" applyFont="1" applyFill="1" applyBorder="1" applyAlignment="1">
      <alignment horizontal="left" vertical="center" wrapText="1"/>
    </xf>
    <xf numFmtId="4" fontId="0" fillId="0" borderId="1" xfId="0" applyNumberFormat="1" applyBorder="1"/>
    <xf numFmtId="165" fontId="1" fillId="0" borderId="1" xfId="0" applyNumberFormat="1" applyFont="1" applyBorder="1"/>
    <xf numFmtId="49" fontId="8" fillId="3" borderId="1" xfId="2" applyNumberFormat="1" applyFont="1" applyFill="1" applyBorder="1" applyAlignment="1">
      <alignment horizontal="left" vertical="center"/>
    </xf>
    <xf numFmtId="49" fontId="11" fillId="0" borderId="1" xfId="2" applyNumberFormat="1" applyFont="1" applyFill="1" applyBorder="1" applyAlignment="1">
      <alignment horizontal="left" vertical="center" wrapText="1"/>
    </xf>
    <xf numFmtId="49" fontId="11" fillId="2" borderId="1" xfId="2" applyNumberFormat="1" applyFont="1" applyFill="1" applyBorder="1" applyAlignment="1">
      <alignment vertical="center"/>
    </xf>
    <xf numFmtId="49" fontId="8" fillId="3" borderId="1" xfId="2" applyNumberFormat="1" applyFont="1" applyFill="1" applyBorder="1" applyAlignment="1">
      <alignment horizontal="left" vertical="center" wrapText="1"/>
    </xf>
    <xf numFmtId="0" fontId="12" fillId="2" borderId="1" xfId="4" applyFont="1" applyFill="1" applyBorder="1" applyAlignment="1">
      <alignment horizontal="left" vertical="center" wrapText="1"/>
    </xf>
    <xf numFmtId="0" fontId="12" fillId="4" borderId="1" xfId="4" applyFont="1" applyFill="1" applyBorder="1" applyAlignment="1">
      <alignment horizontal="left" vertical="center" wrapText="1"/>
    </xf>
    <xf numFmtId="0" fontId="12" fillId="3" borderId="1" xfId="4" applyFont="1" applyFill="1" applyBorder="1" applyAlignment="1">
      <alignment vertical="center"/>
    </xf>
    <xf numFmtId="0" fontId="12" fillId="4" borderId="1" xfId="4" applyFont="1" applyFill="1" applyBorder="1" applyAlignment="1">
      <alignment vertical="center"/>
    </xf>
    <xf numFmtId="0" fontId="1" fillId="0" borderId="0" xfId="0" applyFont="1"/>
    <xf numFmtId="4" fontId="1" fillId="0" borderId="0" xfId="0" applyNumberFormat="1" applyFont="1"/>
    <xf numFmtId="4" fontId="0" fillId="0" borderId="1" xfId="0" applyNumberFormat="1" applyFont="1" applyBorder="1"/>
    <xf numFmtId="0" fontId="7" fillId="0" borderId="0" xfId="0" applyFont="1"/>
    <xf numFmtId="0" fontId="0" fillId="0" borderId="14" xfId="0" applyBorder="1"/>
    <xf numFmtId="165" fontId="22" fillId="3" borderId="16" xfId="3" applyNumberFormat="1" applyFont="1" applyFill="1" applyBorder="1" applyAlignment="1">
      <alignment horizontal="right" vertical="center"/>
    </xf>
    <xf numFmtId="165" fontId="21" fillId="2" borderId="17" xfId="3" applyNumberFormat="1" applyFont="1" applyFill="1" applyBorder="1" applyAlignment="1">
      <alignment vertical="center"/>
    </xf>
    <xf numFmtId="165" fontId="22" fillId="3" borderId="18" xfId="3" applyNumberFormat="1" applyFont="1" applyFill="1" applyBorder="1" applyAlignment="1">
      <alignment horizontal="right" vertical="center"/>
    </xf>
    <xf numFmtId="165" fontId="22" fillId="3" borderId="19" xfId="3" applyNumberFormat="1" applyFont="1" applyFill="1" applyBorder="1" applyAlignment="1">
      <alignment horizontal="right" vertical="center"/>
    </xf>
    <xf numFmtId="165" fontId="22" fillId="3" borderId="20" xfId="3" applyNumberFormat="1" applyFont="1" applyFill="1" applyBorder="1" applyAlignment="1">
      <alignment horizontal="right" vertical="center"/>
    </xf>
    <xf numFmtId="165" fontId="21" fillId="2" borderId="21" xfId="3" applyNumberFormat="1" applyFont="1" applyFill="1" applyBorder="1" applyAlignment="1">
      <alignment vertical="center"/>
    </xf>
    <xf numFmtId="165" fontId="21" fillId="2" borderId="22" xfId="3" applyNumberFormat="1" applyFont="1" applyFill="1" applyBorder="1" applyAlignment="1">
      <alignment vertical="center"/>
    </xf>
    <xf numFmtId="165" fontId="21" fillId="4" borderId="22" xfId="3" applyNumberFormat="1" applyFont="1" applyFill="1" applyBorder="1" applyAlignment="1">
      <alignment vertical="center"/>
    </xf>
    <xf numFmtId="165" fontId="21" fillId="4" borderId="23" xfId="3" applyNumberFormat="1" applyFont="1" applyFill="1" applyBorder="1" applyAlignment="1">
      <alignment vertical="center"/>
    </xf>
    <xf numFmtId="165" fontId="24" fillId="3" borderId="22" xfId="3" applyNumberFormat="1" applyFont="1" applyFill="1" applyBorder="1" applyAlignment="1">
      <alignment horizontal="right" vertical="center"/>
    </xf>
    <xf numFmtId="49" fontId="8" fillId="0" borderId="15" xfId="2" applyNumberFormat="1" applyFont="1" applyFill="1" applyBorder="1" applyAlignment="1">
      <alignment horizontal="left" vertical="center" wrapText="1"/>
    </xf>
    <xf numFmtId="165" fontId="21" fillId="2" borderId="25" xfId="3" applyNumberFormat="1" applyFont="1" applyFill="1" applyBorder="1" applyAlignment="1">
      <alignment vertical="center"/>
    </xf>
    <xf numFmtId="165" fontId="23" fillId="0" borderId="19" xfId="3" applyNumberFormat="1" applyFont="1" applyBorder="1" applyAlignment="1">
      <alignment vertical="center"/>
    </xf>
    <xf numFmtId="165" fontId="22" fillId="3" borderId="21" xfId="3" applyNumberFormat="1" applyFont="1" applyFill="1" applyBorder="1" applyAlignment="1">
      <alignment horizontal="right" vertical="center"/>
    </xf>
    <xf numFmtId="165" fontId="0" fillId="0" borderId="24" xfId="0" applyNumberFormat="1" applyFill="1" applyBorder="1"/>
    <xf numFmtId="165" fontId="0" fillId="0" borderId="1" xfId="0" applyNumberFormat="1" applyFill="1" applyBorder="1"/>
    <xf numFmtId="0" fontId="0" fillId="0" borderId="24" xfId="0" applyFill="1" applyBorder="1"/>
    <xf numFmtId="165" fontId="1" fillId="0" borderId="1" xfId="0" applyNumberFormat="1" applyFont="1" applyFill="1" applyBorder="1"/>
    <xf numFmtId="165" fontId="3" fillId="0" borderId="24" xfId="1" applyNumberFormat="1" applyFont="1" applyFill="1" applyBorder="1" applyAlignment="1">
      <alignment horizontal="right" vertical="top" wrapText="1"/>
    </xf>
    <xf numFmtId="165" fontId="3" fillId="0" borderId="1" xfId="1" applyNumberFormat="1" applyFont="1" applyFill="1" applyBorder="1" applyAlignment="1">
      <alignment horizontal="right" vertical="top" wrapText="1"/>
    </xf>
    <xf numFmtId="0" fontId="1" fillId="0" borderId="1" xfId="0" applyFont="1" applyFill="1" applyBorder="1"/>
    <xf numFmtId="0" fontId="0" fillId="0" borderId="0" xfId="0" applyFill="1"/>
    <xf numFmtId="165" fontId="0" fillId="0" borderId="0" xfId="0" applyNumberFormat="1" applyFill="1"/>
    <xf numFmtId="4" fontId="17" fillId="0" borderId="1" xfId="6" applyNumberFormat="1" applyFont="1" applyFill="1" applyBorder="1" applyAlignment="1">
      <alignment horizontal="right" vertical="top" wrapText="1"/>
    </xf>
    <xf numFmtId="165" fontId="5" fillId="0" borderId="1" xfId="0" applyNumberFormat="1" applyFont="1" applyFill="1" applyBorder="1"/>
    <xf numFmtId="4" fontId="1" fillId="0" borderId="1" xfId="0" applyNumberFormat="1" applyFont="1" applyFill="1" applyBorder="1"/>
    <xf numFmtId="165" fontId="0" fillId="0" borderId="1" xfId="0" applyNumberFormat="1" applyFont="1" applyFill="1" applyBorder="1"/>
    <xf numFmtId="165" fontId="24" fillId="0" borderId="22" xfId="3" applyNumberFormat="1" applyFont="1" applyFill="1" applyBorder="1" applyAlignment="1">
      <alignment horizontal="right" vertical="center"/>
    </xf>
    <xf numFmtId="4" fontId="0" fillId="0" borderId="0" xfId="0" applyNumberFormat="1" applyFill="1"/>
    <xf numFmtId="0" fontId="20" fillId="0" borderId="0" xfId="0" applyFont="1" applyFill="1"/>
    <xf numFmtId="4" fontId="1" fillId="0" borderId="0" xfId="0" applyNumberFormat="1" applyFont="1" applyFill="1"/>
    <xf numFmtId="0" fontId="7" fillId="0" borderId="0" xfId="0" applyFont="1" applyFill="1"/>
    <xf numFmtId="4" fontId="5" fillId="0" borderId="0" xfId="0" applyNumberFormat="1" applyFont="1" applyFill="1"/>
    <xf numFmtId="4" fontId="7" fillId="0" borderId="0" xfId="0" applyNumberFormat="1" applyFont="1" applyFill="1"/>
    <xf numFmtId="4" fontId="3" fillId="0" borderId="2" xfId="7" applyNumberFormat="1" applyFont="1" applyBorder="1" applyAlignment="1">
      <alignment horizontal="right" vertical="top" wrapText="1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26" xfId="0" applyFont="1" applyBorder="1" applyAlignment="1">
      <alignment horizontal="center" vertical="center"/>
    </xf>
    <xf numFmtId="0" fontId="26" fillId="7" borderId="26" xfId="0" applyFont="1" applyFill="1" applyBorder="1" applyAlignment="1">
      <alignment horizontal="left" vertical="center" wrapText="1"/>
    </xf>
    <xf numFmtId="0" fontId="26" fillId="7" borderId="26" xfId="0" applyFont="1" applyFill="1" applyBorder="1" applyAlignment="1">
      <alignment vertical="center" wrapText="1"/>
    </xf>
    <xf numFmtId="0" fontId="26" fillId="7" borderId="26" xfId="0" applyFont="1" applyFill="1" applyBorder="1" applyAlignment="1">
      <alignment vertical="center"/>
    </xf>
    <xf numFmtId="0" fontId="8" fillId="7" borderId="26" xfId="0" applyFont="1" applyFill="1" applyBorder="1" applyAlignment="1">
      <alignment horizontal="right" vertical="center"/>
    </xf>
    <xf numFmtId="0" fontId="26" fillId="0" borderId="27" xfId="0" applyFont="1" applyBorder="1" applyAlignment="1">
      <alignment horizontal="center" vertical="center"/>
    </xf>
    <xf numFmtId="167" fontId="26" fillId="7" borderId="28" xfId="8" applyNumberFormat="1" applyFont="1" applyFill="1" applyBorder="1" applyAlignment="1">
      <alignment vertical="center" wrapText="1"/>
    </xf>
    <xf numFmtId="0" fontId="22" fillId="0" borderId="28" xfId="0" applyFont="1" applyBorder="1" applyAlignment="1">
      <alignment horizontal="center" vertical="center"/>
    </xf>
    <xf numFmtId="0" fontId="22" fillId="7" borderId="28" xfId="0" applyFont="1" applyFill="1" applyBorder="1" applyAlignment="1">
      <alignment vertical="center" wrapText="1"/>
    </xf>
    <xf numFmtId="0" fontId="22" fillId="0" borderId="0" xfId="0" applyFont="1" applyAlignment="1">
      <alignment vertical="center"/>
    </xf>
    <xf numFmtId="0" fontId="22" fillId="7" borderId="28" xfId="0" applyFont="1" applyFill="1" applyBorder="1" applyAlignment="1">
      <alignment horizontal="right" vertical="center" wrapText="1"/>
    </xf>
    <xf numFmtId="167" fontId="22" fillId="7" borderId="28" xfId="8" applyNumberFormat="1" applyFont="1" applyFill="1" applyBorder="1" applyAlignment="1">
      <alignment vertical="center" wrapText="1"/>
    </xf>
    <xf numFmtId="0" fontId="28" fillId="0" borderId="0" xfId="0" applyFont="1" applyAlignment="1">
      <alignment vertical="center"/>
    </xf>
    <xf numFmtId="0" fontId="22" fillId="0" borderId="29" xfId="0" applyFont="1" applyBorder="1" applyAlignment="1">
      <alignment horizontal="center" vertical="center"/>
    </xf>
    <xf numFmtId="0" fontId="22" fillId="7" borderId="29" xfId="0" applyFont="1" applyFill="1" applyBorder="1" applyAlignment="1">
      <alignment horizontal="left" vertical="center" wrapText="1"/>
    </xf>
    <xf numFmtId="167" fontId="22" fillId="7" borderId="29" xfId="8" applyNumberFormat="1" applyFont="1" applyFill="1" applyBorder="1" applyAlignment="1">
      <alignment vertical="center" wrapText="1"/>
    </xf>
    <xf numFmtId="0" fontId="26" fillId="0" borderId="30" xfId="0" applyFont="1" applyBorder="1" applyAlignment="1">
      <alignment horizontal="center" vertical="center"/>
    </xf>
    <xf numFmtId="0" fontId="26" fillId="7" borderId="30" xfId="0" applyFont="1" applyFill="1" applyBorder="1" applyAlignment="1">
      <alignment vertical="center" wrapText="1"/>
    </xf>
    <xf numFmtId="167" fontId="26" fillId="7" borderId="30" xfId="8" applyNumberFormat="1" applyFont="1" applyFill="1" applyBorder="1" applyAlignment="1">
      <alignment vertical="center" wrapText="1"/>
    </xf>
    <xf numFmtId="0" fontId="28" fillId="0" borderId="29" xfId="0" applyFont="1" applyBorder="1" applyAlignment="1">
      <alignment horizontal="center" vertical="center"/>
    </xf>
    <xf numFmtId="0" fontId="28" fillId="7" borderId="29" xfId="0" applyFont="1" applyFill="1" applyBorder="1" applyAlignment="1">
      <alignment vertical="center" wrapText="1"/>
    </xf>
    <xf numFmtId="167" fontId="28" fillId="7" borderId="29" xfId="8" applyNumberFormat="1" applyFont="1" applyFill="1" applyBorder="1" applyAlignment="1">
      <alignment vertical="center" wrapText="1"/>
    </xf>
    <xf numFmtId="0" fontId="22" fillId="0" borderId="30" xfId="0" applyFont="1" applyBorder="1" applyAlignment="1">
      <alignment horizontal="center" vertical="center"/>
    </xf>
    <xf numFmtId="0" fontId="22" fillId="7" borderId="30" xfId="0" applyFont="1" applyFill="1" applyBorder="1" applyAlignment="1">
      <alignment horizontal="left" vertical="center" wrapText="1"/>
    </xf>
    <xf numFmtId="167" fontId="22" fillId="7" borderId="30" xfId="8" applyNumberFormat="1" applyFont="1" applyFill="1" applyBorder="1" applyAlignment="1">
      <alignment vertical="center" wrapText="1"/>
    </xf>
    <xf numFmtId="167" fontId="29" fillId="7" borderId="28" xfId="8" applyNumberFormat="1" applyFont="1" applyFill="1" applyBorder="1" applyAlignment="1">
      <alignment vertical="center" wrapText="1"/>
    </xf>
    <xf numFmtId="167" fontId="14" fillId="7" borderId="28" xfId="8" applyNumberFormat="1" applyFont="1" applyFill="1" applyBorder="1" applyAlignment="1">
      <alignment vertical="center" wrapText="1"/>
    </xf>
    <xf numFmtId="167" fontId="14" fillId="7" borderId="30" xfId="8" applyNumberFormat="1" applyFont="1" applyFill="1" applyBorder="1" applyAlignment="1">
      <alignment vertical="center" wrapText="1"/>
    </xf>
    <xf numFmtId="167" fontId="22" fillId="7" borderId="31" xfId="8" applyNumberFormat="1" applyFont="1" applyFill="1" applyBorder="1" applyAlignment="1">
      <alignment vertical="center" wrapText="1"/>
    </xf>
    <xf numFmtId="167" fontId="26" fillId="0" borderId="28" xfId="8" applyNumberFormat="1" applyFont="1" applyFill="1" applyBorder="1" applyAlignment="1">
      <alignment vertical="center" wrapText="1"/>
    </xf>
    <xf numFmtId="167" fontId="14" fillId="0" borderId="28" xfId="8" applyNumberFormat="1" applyFont="1" applyFill="1" applyBorder="1" applyAlignment="1">
      <alignment vertical="center" wrapText="1"/>
    </xf>
    <xf numFmtId="167" fontId="22" fillId="0" borderId="28" xfId="8" applyNumberFormat="1" applyFont="1" applyFill="1" applyBorder="1" applyAlignment="1">
      <alignment vertical="center" wrapText="1"/>
    </xf>
    <xf numFmtId="167" fontId="22" fillId="0" borderId="31" xfId="8" applyNumberFormat="1" applyFont="1" applyFill="1" applyBorder="1" applyAlignment="1">
      <alignment vertical="center" wrapText="1"/>
    </xf>
    <xf numFmtId="0" fontId="26" fillId="0" borderId="32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6" fillId="7" borderId="33" xfId="0" applyFont="1" applyFill="1" applyBorder="1" applyAlignment="1">
      <alignment horizontal="center" vertical="center" wrapText="1"/>
    </xf>
    <xf numFmtId="17" fontId="26" fillId="7" borderId="33" xfId="0" applyNumberFormat="1" applyFont="1" applyFill="1" applyBorder="1" applyAlignment="1">
      <alignment horizontal="center" vertical="center" wrapText="1"/>
    </xf>
    <xf numFmtId="0" fontId="14" fillId="7" borderId="34" xfId="0" applyFont="1" applyFill="1" applyBorder="1" applyAlignment="1">
      <alignment vertical="center" wrapText="1"/>
    </xf>
    <xf numFmtId="0" fontId="26" fillId="7" borderId="35" xfId="0" applyFont="1" applyFill="1" applyBorder="1" applyAlignment="1">
      <alignment vertical="center" wrapText="1"/>
    </xf>
    <xf numFmtId="167" fontId="14" fillId="7" borderId="35" xfId="8" applyNumberFormat="1" applyFont="1" applyFill="1" applyBorder="1" applyAlignment="1">
      <alignment vertical="center" wrapText="1"/>
    </xf>
    <xf numFmtId="0" fontId="22" fillId="7" borderId="37" xfId="0" applyFont="1" applyFill="1" applyBorder="1" applyAlignment="1">
      <alignment horizontal="left" vertical="center" wrapText="1"/>
    </xf>
    <xf numFmtId="167" fontId="26" fillId="7" borderId="38" xfId="8" applyNumberFormat="1" applyFont="1" applyFill="1" applyBorder="1" applyAlignment="1">
      <alignment vertical="center" wrapText="1"/>
    </xf>
    <xf numFmtId="0" fontId="22" fillId="7" borderId="39" xfId="0" applyFont="1" applyFill="1" applyBorder="1" applyAlignment="1">
      <alignment horizontal="left" vertical="center" wrapText="1"/>
    </xf>
    <xf numFmtId="0" fontId="22" fillId="7" borderId="40" xfId="0" applyFont="1" applyFill="1" applyBorder="1" applyAlignment="1">
      <alignment vertical="center" wrapText="1"/>
    </xf>
    <xf numFmtId="167" fontId="26" fillId="7" borderId="40" xfId="8" applyNumberFormat="1" applyFont="1" applyFill="1" applyBorder="1" applyAlignment="1">
      <alignment vertical="center" wrapText="1"/>
    </xf>
    <xf numFmtId="167" fontId="26" fillId="7" borderId="41" xfId="8" applyNumberFormat="1" applyFont="1" applyFill="1" applyBorder="1" applyAlignment="1">
      <alignment vertical="center" wrapText="1"/>
    </xf>
    <xf numFmtId="167" fontId="14" fillId="7" borderId="36" xfId="8" applyNumberFormat="1" applyFont="1" applyFill="1" applyBorder="1" applyAlignment="1">
      <alignment vertical="center" wrapText="1"/>
    </xf>
    <xf numFmtId="0" fontId="26" fillId="0" borderId="42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22" fillId="0" borderId="44" xfId="0" applyFont="1" applyBorder="1" applyAlignment="1">
      <alignment horizontal="center" vertical="center"/>
    </xf>
    <xf numFmtId="167" fontId="30" fillId="7" borderId="30" xfId="8" applyNumberFormat="1" applyFont="1" applyFill="1" applyBorder="1" applyAlignment="1">
      <alignment vertical="center" wrapText="1"/>
    </xf>
    <xf numFmtId="0" fontId="14" fillId="7" borderId="45" xfId="0" applyFont="1" applyFill="1" applyBorder="1" applyAlignment="1">
      <alignment vertical="center" wrapText="1"/>
    </xf>
    <xf numFmtId="167" fontId="26" fillId="7" borderId="46" xfId="8" applyNumberFormat="1" applyFont="1" applyFill="1" applyBorder="1" applyAlignment="1">
      <alignment vertical="center" wrapText="1"/>
    </xf>
    <xf numFmtId="0" fontId="24" fillId="7" borderId="37" xfId="0" applyFont="1" applyFill="1" applyBorder="1" applyAlignment="1">
      <alignment horizontal="left" vertical="center" wrapText="1"/>
    </xf>
    <xf numFmtId="0" fontId="28" fillId="7" borderId="37" xfId="0" applyFont="1" applyFill="1" applyBorder="1" applyAlignment="1">
      <alignment horizontal="left" vertical="center" wrapText="1"/>
    </xf>
    <xf numFmtId="0" fontId="22" fillId="7" borderId="40" xfId="0" applyFont="1" applyFill="1" applyBorder="1" applyAlignment="1">
      <alignment horizontal="right" vertical="center" wrapText="1"/>
    </xf>
    <xf numFmtId="167" fontId="22" fillId="7" borderId="40" xfId="8" applyNumberFormat="1" applyFont="1" applyFill="1" applyBorder="1" applyAlignment="1">
      <alignment vertical="center" wrapText="1"/>
    </xf>
    <xf numFmtId="167" fontId="22" fillId="0" borderId="40" xfId="8" applyNumberFormat="1" applyFont="1" applyFill="1" applyBorder="1" applyAlignment="1">
      <alignment vertical="center" wrapText="1"/>
    </xf>
    <xf numFmtId="0" fontId="28" fillId="7" borderId="39" xfId="0" applyFont="1" applyFill="1" applyBorder="1" applyAlignment="1">
      <alignment horizontal="left" vertical="center" wrapText="1"/>
    </xf>
    <xf numFmtId="0" fontId="22" fillId="7" borderId="47" xfId="0" applyFont="1" applyFill="1" applyBorder="1" applyAlignment="1">
      <alignment horizontal="left" vertical="center" wrapText="1"/>
    </xf>
    <xf numFmtId="0" fontId="22" fillId="7" borderId="31" xfId="0" applyFont="1" applyFill="1" applyBorder="1" applyAlignment="1">
      <alignment vertical="center" wrapText="1"/>
    </xf>
    <xf numFmtId="167" fontId="26" fillId="7" borderId="31" xfId="8" applyNumberFormat="1" applyFont="1" applyFill="1" applyBorder="1" applyAlignment="1">
      <alignment vertical="center" wrapText="1"/>
    </xf>
    <xf numFmtId="167" fontId="26" fillId="7" borderId="48" xfId="8" applyNumberFormat="1" applyFont="1" applyFill="1" applyBorder="1" applyAlignment="1">
      <alignment vertical="center" wrapText="1"/>
    </xf>
    <xf numFmtId="0" fontId="27" fillId="0" borderId="0" xfId="0" applyFont="1" applyAlignment="1">
      <alignment horizontal="left" vertical="center"/>
    </xf>
    <xf numFmtId="0" fontId="18" fillId="3" borderId="2" xfId="5" applyNumberFormat="1" applyFont="1" applyFill="1" applyBorder="1" applyAlignment="1">
      <alignment vertical="top"/>
    </xf>
    <xf numFmtId="4" fontId="18" fillId="3" borderId="2" xfId="5" applyNumberFormat="1" applyFont="1" applyFill="1" applyBorder="1" applyAlignment="1">
      <alignment horizontal="right" vertical="top" wrapText="1"/>
    </xf>
    <xf numFmtId="2" fontId="18" fillId="3" borderId="2" xfId="5" applyNumberFormat="1" applyFont="1" applyFill="1" applyBorder="1" applyAlignment="1">
      <alignment horizontal="right" vertical="top" wrapText="1"/>
    </xf>
    <xf numFmtId="0" fontId="17" fillId="0" borderId="13" xfId="5" applyNumberFormat="1" applyFont="1" applyBorder="1" applyAlignment="1">
      <alignment horizontal="right" vertical="top" wrapText="1"/>
    </xf>
    <xf numFmtId="0" fontId="16" fillId="3" borderId="4" xfId="5" applyNumberFormat="1" applyFont="1" applyFill="1" applyBorder="1" applyAlignment="1">
      <alignment vertical="top"/>
    </xf>
    <xf numFmtId="0" fontId="16" fillId="3" borderId="7" xfId="5" applyNumberFormat="1" applyFont="1" applyFill="1" applyBorder="1" applyAlignment="1">
      <alignment vertical="top"/>
    </xf>
    <xf numFmtId="0" fontId="16" fillId="3" borderId="11" xfId="5" applyNumberFormat="1" applyFont="1" applyFill="1" applyBorder="1" applyAlignment="1">
      <alignment vertical="top"/>
    </xf>
    <xf numFmtId="0" fontId="16" fillId="3" borderId="8" xfId="5" applyNumberFormat="1" applyFont="1" applyFill="1" applyBorder="1" applyAlignment="1">
      <alignment vertical="top"/>
    </xf>
    <xf numFmtId="0" fontId="16" fillId="3" borderId="5" xfId="5" applyNumberFormat="1" applyFont="1" applyFill="1" applyBorder="1" applyAlignment="1">
      <alignment vertical="top"/>
    </xf>
    <xf numFmtId="0" fontId="16" fillId="3" borderId="9" xfId="5" applyNumberFormat="1" applyFont="1" applyFill="1" applyBorder="1" applyAlignment="1">
      <alignment vertical="top"/>
    </xf>
    <xf numFmtId="0" fontId="16" fillId="3" borderId="4" xfId="5" applyNumberFormat="1" applyFont="1" applyFill="1" applyBorder="1" applyAlignment="1">
      <alignment horizontal="center" vertical="top"/>
    </xf>
    <xf numFmtId="0" fontId="14" fillId="0" borderId="0" xfId="5" applyNumberFormat="1" applyFont="1" applyAlignment="1">
      <alignment horizontal="center" wrapText="1"/>
    </xf>
    <xf numFmtId="0" fontId="11" fillId="0" borderId="0" xfId="5" applyNumberFormat="1" applyFont="1" applyAlignment="1">
      <alignment horizontal="center" wrapText="1"/>
    </xf>
    <xf numFmtId="0" fontId="15" fillId="0" borderId="0" xfId="5" applyNumberFormat="1" applyFont="1" applyAlignment="1">
      <alignment horizontal="center" vertical="top" wrapText="1"/>
    </xf>
    <xf numFmtId="0" fontId="16" fillId="3" borderId="10" xfId="5" applyNumberFormat="1" applyFont="1" applyFill="1" applyBorder="1" applyAlignment="1">
      <alignment vertical="top"/>
    </xf>
    <xf numFmtId="0" fontId="16" fillId="3" borderId="3" xfId="5" applyNumberFormat="1" applyFont="1" applyFill="1" applyBorder="1" applyAlignment="1">
      <alignment vertical="top"/>
    </xf>
    <xf numFmtId="0" fontId="16" fillId="3" borderId="6" xfId="5" applyNumberFormat="1" applyFont="1" applyFill="1" applyBorder="1" applyAlignment="1">
      <alignment horizontal="center" vertical="top"/>
    </xf>
    <xf numFmtId="4" fontId="19" fillId="0" borderId="2" xfId="5" applyNumberFormat="1" applyFont="1" applyBorder="1" applyAlignment="1">
      <alignment horizontal="right" vertical="top" wrapText="1"/>
    </xf>
    <xf numFmtId="0" fontId="16" fillId="3" borderId="2" xfId="5" applyNumberFormat="1" applyFont="1" applyFill="1" applyBorder="1" applyAlignment="1">
      <alignment vertical="top"/>
    </xf>
    <xf numFmtId="0" fontId="16" fillId="3" borderId="2" xfId="5" applyNumberFormat="1" applyFont="1" applyFill="1" applyBorder="1" applyAlignment="1">
      <alignment horizontal="right" vertical="top"/>
    </xf>
    <xf numFmtId="4" fontId="17" fillId="0" borderId="2" xfId="5" applyNumberFormat="1" applyFont="1" applyBorder="1" applyAlignment="1">
      <alignment horizontal="right" vertical="top" wrapText="1"/>
    </xf>
    <xf numFmtId="4" fontId="17" fillId="5" borderId="2" xfId="5" applyNumberFormat="1" applyFont="1" applyFill="1" applyBorder="1" applyAlignment="1">
      <alignment horizontal="right" vertical="top" wrapText="1"/>
    </xf>
    <xf numFmtId="2" fontId="17" fillId="5" borderId="2" xfId="5" applyNumberFormat="1" applyFont="1" applyFill="1" applyBorder="1" applyAlignment="1">
      <alignment horizontal="right" vertical="top" wrapText="1"/>
    </xf>
  </cellXfs>
  <cellStyles count="9">
    <cellStyle name="Normal_Book5" xfId="2" xr:uid="{00000000-0005-0000-0000-000000000000}"/>
    <cellStyle name="Обычный" xfId="0" builtinId="0"/>
    <cellStyle name="Обычный 2 2" xfId="4" xr:uid="{00000000-0005-0000-0000-000002000000}"/>
    <cellStyle name="Обычный_Лист1" xfId="5" xr:uid="{00000000-0005-0000-0000-000003000000}"/>
    <cellStyle name="Обычный_Лист4" xfId="6" xr:uid="{00000000-0005-0000-0000-000004000000}"/>
    <cellStyle name="Обычный_Лист6" xfId="7" xr:uid="{00000000-0005-0000-0000-000005000000}"/>
    <cellStyle name="Обычный_Отчет Образцово Юг" xfId="1" xr:uid="{00000000-0005-0000-0000-000006000000}"/>
    <cellStyle name="Финансовый" xfId="8" builtinId="3"/>
    <cellStyle name="Финансовый 3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&#1050;&#1072;&#1089;&#1082;&#1072;&#1076;%20&#1053;&#1086;&#1074;&#1086;&#1089;&#1090;&#1088;&#1086;&#1081;&#1082;&#1080;\&#1086;&#1090;&#1095;&#1077;&#1090;&#1085;&#1086;&#1089;&#1090;&#1100;\&#1054;&#1090;&#1095;&#1077;&#1090;&#1099;%20&#1058;&#1080;&#1084;&#1091;&#1088;\&#1054;&#1044;&#1044;&#1057;_&#1089;&#1074;&#1086;&#1076;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ДДС (net)"/>
      <sheetName val="ОДДС (свод)"/>
      <sheetName val="ДТ(12-19)"/>
      <sheetName val="КП(12-19)"/>
      <sheetName val="КН(12-19)"/>
      <sheetName val="ДТ(11-19)"/>
      <sheetName val="КН(11-19)"/>
      <sheetName val="КП(11-19)"/>
      <sheetName val="ДТ(10-19)"/>
      <sheetName val="КН10-19"/>
      <sheetName val="КП(10-19)"/>
      <sheetName val="ДТ(09-19)"/>
      <sheetName val="КН09-19"/>
      <sheetName val="КП(09-19)"/>
      <sheetName val="КН08-19"/>
      <sheetName val="ДТ(08-19)"/>
      <sheetName val="КП(08-19)"/>
      <sheetName val="КН07-19"/>
      <sheetName val="ДТ(07-19)"/>
      <sheetName val="КП(07-19)"/>
      <sheetName val="ДТ01-19"/>
      <sheetName val="КН03-19"/>
      <sheetName val="КН06-19"/>
      <sheetName val="ДТ(06-19)"/>
      <sheetName val="КП(06-19)"/>
      <sheetName val="КН05-19"/>
      <sheetName val="ДТ(05-19)"/>
      <sheetName val="КП(05-19)"/>
      <sheetName val="ДТ(04-19)"/>
      <sheetName val="КП(04-19)"/>
      <sheetName val="КН04-19"/>
      <sheetName val="КН09-18"/>
      <sheetName val="ДТ03-19"/>
      <sheetName val="КП(03-19)"/>
      <sheetName val="КН02-19"/>
      <sheetName val="КН01-19"/>
      <sheetName val="ДТ02-18"/>
      <sheetName val="КН12-18"/>
      <sheetName val="КП(12-18)"/>
      <sheetName val="ДТ12-18"/>
      <sheetName val="КН10-18"/>
      <sheetName val="КН11-18"/>
      <sheetName val="ДТ10-18"/>
      <sheetName val="ДТ11-18"/>
      <sheetName val="КП(10-18)"/>
      <sheetName val="КП(11-18)"/>
      <sheetName val="ДТ04-18"/>
      <sheetName val="КН04-18"/>
      <sheetName val="КН05-18"/>
      <sheetName val="КН06-18"/>
      <sheetName val="КН07-18"/>
      <sheetName val="КП(02-18)"/>
      <sheetName val="КП(01-19)"/>
      <sheetName val="КП(04-18)"/>
      <sheetName val="КП(05-18)"/>
      <sheetName val="КП(06-18)"/>
      <sheetName val="КП(07-18)"/>
      <sheetName val="КП(08-18)"/>
      <sheetName val="КП(09-18)"/>
      <sheetName val="ДТ05-18"/>
      <sheetName val="ДТ06-18"/>
      <sheetName val="ДТ07-18"/>
      <sheetName val="КН08-18"/>
      <sheetName val="ДТ08-18"/>
      <sheetName val="ДТ09-18"/>
    </sheetNames>
    <sheetDataSet>
      <sheetData sheetId="0" refreshError="1"/>
      <sheetData sheetId="1">
        <row r="9">
          <cell r="D9">
            <v>1870.0611200000001</v>
          </cell>
        </row>
        <row r="47">
          <cell r="C47">
            <v>23.5219100000011</v>
          </cell>
        </row>
        <row r="48">
          <cell r="C48">
            <v>625.98748999999998</v>
          </cell>
        </row>
        <row r="49">
          <cell r="C49">
            <v>630.54304999999999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4"/>
  <sheetViews>
    <sheetView tabSelected="1" topLeftCell="D43" workbookViewId="0">
      <selection activeCell="C2" sqref="C1:C1048576"/>
    </sheetView>
  </sheetViews>
  <sheetFormatPr defaultColWidth="9.1796875" defaultRowHeight="15.5" outlineLevelRow="1" outlineLevelCol="1" x14ac:dyDescent="0.35"/>
  <cols>
    <col min="1" max="1" width="8.1796875" style="89" customWidth="1"/>
    <col min="2" max="2" width="58.81640625" style="90" customWidth="1"/>
    <col min="3" max="3" width="12.54296875" style="90" hidden="1" customWidth="1" outlineLevel="1"/>
    <col min="4" max="4" width="23.7265625" style="90" customWidth="1" collapsed="1"/>
    <col min="5" max="5" width="23.1796875" style="90" customWidth="1"/>
    <col min="6" max="6" width="19.54296875" style="90" customWidth="1"/>
    <col min="7" max="7" width="18.26953125" style="90" customWidth="1"/>
    <col min="8" max="8" width="17.453125" style="90" customWidth="1"/>
    <col min="9" max="9" width="15.453125" style="90" customWidth="1"/>
    <col min="10" max="10" width="14.1796875" style="90" customWidth="1"/>
    <col min="11" max="11" width="16.54296875" style="90" customWidth="1"/>
    <col min="12" max="16384" width="9.1796875" style="90"/>
  </cols>
  <sheetData>
    <row r="1" spans="1:11" ht="18" x14ac:dyDescent="0.35">
      <c r="B1" s="154" t="s">
        <v>136</v>
      </c>
      <c r="C1" s="154"/>
      <c r="D1" s="154"/>
      <c r="E1" s="154"/>
      <c r="F1" s="154"/>
      <c r="G1" s="154"/>
    </row>
    <row r="2" spans="1:11" ht="21" customHeight="1" x14ac:dyDescent="0.35">
      <c r="A2" s="91"/>
      <c r="B2" s="92"/>
      <c r="C2" s="92"/>
      <c r="D2" s="92"/>
      <c r="E2" s="92"/>
      <c r="F2" s="92"/>
      <c r="G2" s="93"/>
      <c r="H2" s="93"/>
      <c r="I2" s="93"/>
      <c r="J2" s="94"/>
      <c r="K2" s="95" t="s">
        <v>119</v>
      </c>
    </row>
    <row r="3" spans="1:11" s="89" customFormat="1" ht="16" thickBot="1" x14ac:dyDescent="0.4">
      <c r="A3" s="96" t="s">
        <v>120</v>
      </c>
      <c r="B3" s="126" t="s">
        <v>121</v>
      </c>
      <c r="C3" s="126"/>
      <c r="D3" s="127">
        <v>44713</v>
      </c>
      <c r="E3" s="127">
        <v>44743</v>
      </c>
      <c r="F3" s="127">
        <v>44774</v>
      </c>
      <c r="G3" s="127">
        <v>44805</v>
      </c>
      <c r="H3" s="127">
        <v>44835</v>
      </c>
      <c r="I3" s="127">
        <v>44866</v>
      </c>
      <c r="J3" s="127">
        <v>44896</v>
      </c>
      <c r="K3" s="127" t="s">
        <v>1</v>
      </c>
    </row>
    <row r="4" spans="1:11" x14ac:dyDescent="0.35">
      <c r="A4" s="124" t="s">
        <v>122</v>
      </c>
      <c r="B4" s="128" t="s">
        <v>123</v>
      </c>
      <c r="C4" s="129"/>
      <c r="D4" s="130">
        <f>D5+D6+D9</f>
        <v>1246685.1599999999</v>
      </c>
      <c r="E4" s="130">
        <f>E5+E6+E9</f>
        <v>657973.03</v>
      </c>
      <c r="F4" s="130">
        <f>F5+F6+F9</f>
        <v>2665013.0700000003</v>
      </c>
      <c r="G4" s="130">
        <f>G5+G6+G9+G7</f>
        <v>3006746.18</v>
      </c>
      <c r="H4" s="130">
        <f>H5+H6+H9+H7+H8</f>
        <v>3262775.41</v>
      </c>
      <c r="I4" s="130">
        <f>I5+I6+I9</f>
        <v>0</v>
      </c>
      <c r="J4" s="130">
        <f>J5+J6+J9</f>
        <v>0</v>
      </c>
      <c r="K4" s="137">
        <f t="shared" ref="K4:K10" si="0">SUM(D4:J4)</f>
        <v>10839192.85</v>
      </c>
    </row>
    <row r="5" spans="1:11" s="100" customFormat="1" x14ac:dyDescent="0.35">
      <c r="A5" s="125" t="s">
        <v>125</v>
      </c>
      <c r="B5" s="131" t="s">
        <v>138</v>
      </c>
      <c r="C5" s="99"/>
      <c r="D5" s="97">
        <v>1240685.1599999999</v>
      </c>
      <c r="E5" s="97">
        <v>556579.72</v>
      </c>
      <c r="F5" s="97">
        <v>2237632.1800000002</v>
      </c>
      <c r="G5" s="97">
        <f>2670271.94-24260.8</f>
        <v>2646011.14</v>
      </c>
      <c r="H5" s="97">
        <v>2957869.92</v>
      </c>
      <c r="I5" s="97"/>
      <c r="J5" s="97"/>
      <c r="K5" s="132">
        <f t="shared" si="0"/>
        <v>9638778.120000001</v>
      </c>
    </row>
    <row r="6" spans="1:11" s="100" customFormat="1" x14ac:dyDescent="0.35">
      <c r="A6" s="125" t="s">
        <v>126</v>
      </c>
      <c r="B6" s="131" t="s">
        <v>127</v>
      </c>
      <c r="C6" s="99"/>
      <c r="D6" s="97">
        <v>0</v>
      </c>
      <c r="E6" s="97">
        <v>23693.31</v>
      </c>
      <c r="F6" s="97">
        <v>225530.89</v>
      </c>
      <c r="G6" s="97">
        <f>166164.45-179.41</f>
        <v>165985.04</v>
      </c>
      <c r="H6" s="97">
        <v>116315.49</v>
      </c>
      <c r="I6" s="97"/>
      <c r="J6" s="97"/>
      <c r="K6" s="132">
        <f t="shared" si="0"/>
        <v>531524.73</v>
      </c>
    </row>
    <row r="7" spans="1:11" s="100" customFormat="1" x14ac:dyDescent="0.35">
      <c r="A7" s="125" t="s">
        <v>162</v>
      </c>
      <c r="B7" s="131" t="s">
        <v>164</v>
      </c>
      <c r="C7" s="99"/>
      <c r="D7" s="97"/>
      <c r="E7" s="97"/>
      <c r="F7" s="97"/>
      <c r="G7" s="97">
        <f>10300+40000</f>
        <v>50300</v>
      </c>
      <c r="H7" s="97">
        <v>24500</v>
      </c>
      <c r="I7" s="97"/>
      <c r="J7" s="97"/>
      <c r="K7" s="132">
        <f t="shared" si="0"/>
        <v>74800</v>
      </c>
    </row>
    <row r="8" spans="1:11" s="100" customFormat="1" x14ac:dyDescent="0.35">
      <c r="A8" s="125"/>
      <c r="B8" s="150" t="s">
        <v>182</v>
      </c>
      <c r="C8" s="151"/>
      <c r="D8" s="152"/>
      <c r="E8" s="152"/>
      <c r="F8" s="152"/>
      <c r="G8" s="152"/>
      <c r="H8" s="152">
        <v>4240</v>
      </c>
      <c r="I8" s="152"/>
      <c r="J8" s="152"/>
      <c r="K8" s="153"/>
    </row>
    <row r="9" spans="1:11" s="100" customFormat="1" ht="16" thickBot="1" x14ac:dyDescent="0.4">
      <c r="A9" s="125" t="s">
        <v>163</v>
      </c>
      <c r="B9" s="133" t="s">
        <v>139</v>
      </c>
      <c r="C9" s="134"/>
      <c r="D9" s="135">
        <v>6000</v>
      </c>
      <c r="E9" s="135">
        <v>77700</v>
      </c>
      <c r="F9" s="135">
        <f>204450-2600</f>
        <v>201850</v>
      </c>
      <c r="G9" s="135">
        <f>141850+2600</f>
        <v>144450</v>
      </c>
      <c r="H9" s="135">
        <v>159850</v>
      </c>
      <c r="I9" s="135"/>
      <c r="J9" s="135"/>
      <c r="K9" s="136">
        <f t="shared" si="0"/>
        <v>589850</v>
      </c>
    </row>
    <row r="10" spans="1:11" x14ac:dyDescent="0.35">
      <c r="A10" s="138" t="s">
        <v>128</v>
      </c>
      <c r="B10" s="128" t="s">
        <v>129</v>
      </c>
      <c r="C10" s="129"/>
      <c r="D10" s="130">
        <f>D12+D13+D15+D11</f>
        <v>478098.42000000004</v>
      </c>
      <c r="E10" s="130">
        <f>E12+E13+E15+E11</f>
        <v>1512435.46</v>
      </c>
      <c r="F10" s="130">
        <f>F12+F13+F15+F11</f>
        <v>2678127.4700000002</v>
      </c>
      <c r="G10" s="130">
        <f t="shared" ref="G10:J10" si="1">G12+G13+G15+G11</f>
        <v>2954496.2300000004</v>
      </c>
      <c r="H10" s="130">
        <f>H12+H13+H15+H11+H14</f>
        <v>3539788.81</v>
      </c>
      <c r="I10" s="130">
        <f t="shared" si="1"/>
        <v>0</v>
      </c>
      <c r="J10" s="130">
        <f t="shared" si="1"/>
        <v>0</v>
      </c>
      <c r="K10" s="137">
        <f t="shared" si="0"/>
        <v>11162946.390000001</v>
      </c>
    </row>
    <row r="11" spans="1:11" x14ac:dyDescent="0.35">
      <c r="A11" s="139"/>
      <c r="B11" s="142" t="s">
        <v>147</v>
      </c>
      <c r="C11" s="108"/>
      <c r="D11" s="118"/>
      <c r="E11" s="117">
        <v>180000</v>
      </c>
      <c r="F11" s="117">
        <f>475492.09+259000</f>
        <v>734492.09000000008</v>
      </c>
      <c r="G11" s="118">
        <f>550467.55+253000</f>
        <v>803467.55</v>
      </c>
      <c r="H11" s="117">
        <f>426074.46+277991.87+220535</f>
        <v>924601.33000000007</v>
      </c>
      <c r="I11" s="109"/>
      <c r="J11" s="109"/>
      <c r="K11" s="143"/>
    </row>
    <row r="12" spans="1:11" s="100" customFormat="1" x14ac:dyDescent="0.35">
      <c r="A12" s="125" t="s">
        <v>130</v>
      </c>
      <c r="B12" s="144" t="s">
        <v>140</v>
      </c>
      <c r="C12" s="99"/>
      <c r="D12" s="117">
        <v>26651.63</v>
      </c>
      <c r="E12" s="117">
        <v>10072.709999999999</v>
      </c>
      <c r="F12" s="117">
        <v>7977.15</v>
      </c>
      <c r="G12" s="117">
        <v>19303.96</v>
      </c>
      <c r="H12" s="117">
        <v>17320</v>
      </c>
      <c r="I12" s="97"/>
      <c r="J12" s="97"/>
      <c r="K12" s="132">
        <f>SUM(D12:J12)</f>
        <v>81325.45</v>
      </c>
    </row>
    <row r="13" spans="1:11" s="100" customFormat="1" x14ac:dyDescent="0.35">
      <c r="A13" s="125" t="s">
        <v>131</v>
      </c>
      <c r="B13" s="144" t="s">
        <v>141</v>
      </c>
      <c r="C13" s="99"/>
      <c r="D13" s="117">
        <v>1268.8900000000001</v>
      </c>
      <c r="E13" s="117">
        <v>7980.11</v>
      </c>
      <c r="F13" s="117">
        <v>9912.15</v>
      </c>
      <c r="G13" s="117">
        <v>11905.03</v>
      </c>
      <c r="H13" s="117">
        <v>12008.48</v>
      </c>
      <c r="I13" s="97"/>
      <c r="J13" s="97"/>
      <c r="K13" s="132">
        <f>SUM(D13:J13)</f>
        <v>43074.66</v>
      </c>
    </row>
    <row r="14" spans="1:11" s="100" customFormat="1" x14ac:dyDescent="0.35">
      <c r="A14" s="125" t="s">
        <v>132</v>
      </c>
      <c r="B14" s="144" t="s">
        <v>173</v>
      </c>
      <c r="C14" s="99"/>
      <c r="D14" s="117"/>
      <c r="E14" s="117"/>
      <c r="F14" s="117"/>
      <c r="G14" s="117"/>
      <c r="H14" s="117">
        <v>8145</v>
      </c>
      <c r="I14" s="97"/>
      <c r="J14" s="97"/>
      <c r="K14" s="132"/>
    </row>
    <row r="15" spans="1:11" s="100" customFormat="1" x14ac:dyDescent="0.35">
      <c r="A15" s="125" t="s">
        <v>172</v>
      </c>
      <c r="B15" s="144" t="s">
        <v>142</v>
      </c>
      <c r="C15" s="99"/>
      <c r="D15" s="117">
        <f>SUM(D16:D48)</f>
        <v>450177.9</v>
      </c>
      <c r="E15" s="117">
        <f>SUM(E16:E48)</f>
        <v>1314382.6399999999</v>
      </c>
      <c r="F15" s="117">
        <f>SUM(F16:F48)</f>
        <v>1925746.08</v>
      </c>
      <c r="G15" s="117">
        <f>SUM(G16:G48)</f>
        <v>2119819.69</v>
      </c>
      <c r="H15" s="117">
        <f>SUM(H16:H48)</f>
        <v>2577714</v>
      </c>
      <c r="I15" s="97">
        <f>SUM(I35:I48)</f>
        <v>0</v>
      </c>
      <c r="J15" s="97">
        <f>SUM(J35:J48)</f>
        <v>0</v>
      </c>
      <c r="K15" s="132">
        <f>SUM(D15:J15)</f>
        <v>8387840.3100000005</v>
      </c>
    </row>
    <row r="16" spans="1:11" s="100" customFormat="1" ht="29" x14ac:dyDescent="0.35">
      <c r="A16" s="125"/>
      <c r="B16" s="145" t="s">
        <v>179</v>
      </c>
      <c r="C16" s="99"/>
      <c r="D16" s="116">
        <v>20000</v>
      </c>
      <c r="E16" s="97"/>
      <c r="F16" s="97"/>
      <c r="G16" s="97"/>
      <c r="H16" s="102">
        <v>100000</v>
      </c>
      <c r="I16" s="97"/>
      <c r="J16" s="97"/>
      <c r="K16" s="132">
        <f t="shared" ref="K16:K47" si="2">SUM(D16:J16)</f>
        <v>120000</v>
      </c>
    </row>
    <row r="17" spans="1:11" s="100" customFormat="1" x14ac:dyDescent="0.35">
      <c r="A17" s="125"/>
      <c r="B17" s="145" t="s">
        <v>143</v>
      </c>
      <c r="C17" s="99"/>
      <c r="D17" s="116">
        <v>25000</v>
      </c>
      <c r="E17" s="120"/>
      <c r="F17" s="120"/>
      <c r="G17" s="97"/>
      <c r="H17" s="97"/>
      <c r="I17" s="97"/>
      <c r="J17" s="97"/>
      <c r="K17" s="132">
        <f t="shared" si="2"/>
        <v>25000</v>
      </c>
    </row>
    <row r="18" spans="1:11" s="100" customFormat="1" ht="29" x14ac:dyDescent="0.35">
      <c r="A18" s="125"/>
      <c r="B18" s="145" t="s">
        <v>149</v>
      </c>
      <c r="C18" s="99"/>
      <c r="D18" s="116"/>
      <c r="E18" s="120">
        <v>200000</v>
      </c>
      <c r="F18" s="120"/>
      <c r="G18" s="97"/>
      <c r="H18" s="97"/>
      <c r="I18" s="97"/>
      <c r="J18" s="97"/>
      <c r="K18" s="132">
        <f t="shared" si="2"/>
        <v>200000</v>
      </c>
    </row>
    <row r="19" spans="1:11" s="100" customFormat="1" ht="29" x14ac:dyDescent="0.35">
      <c r="A19" s="125"/>
      <c r="B19" s="145" t="s">
        <v>157</v>
      </c>
      <c r="C19" s="99"/>
      <c r="D19" s="97">
        <f>96000</f>
        <v>96000</v>
      </c>
      <c r="E19" s="120">
        <v>80000</v>
      </c>
      <c r="F19" s="120">
        <f>96000+50000</f>
        <v>146000</v>
      </c>
      <c r="G19" s="97">
        <f>30000+80000</f>
        <v>110000</v>
      </c>
      <c r="H19" s="97"/>
      <c r="I19" s="97"/>
      <c r="J19" s="97"/>
      <c r="K19" s="132">
        <f t="shared" si="2"/>
        <v>432000</v>
      </c>
    </row>
    <row r="20" spans="1:11" s="100" customFormat="1" x14ac:dyDescent="0.35">
      <c r="A20" s="125"/>
      <c r="B20" s="145" t="s">
        <v>167</v>
      </c>
      <c r="C20" s="99"/>
      <c r="D20" s="97">
        <v>7443.6</v>
      </c>
      <c r="E20" s="121"/>
      <c r="F20" s="120"/>
      <c r="G20" s="97">
        <v>43195.46</v>
      </c>
      <c r="H20" s="97"/>
      <c r="I20" s="97"/>
      <c r="J20" s="97"/>
      <c r="K20" s="132">
        <f t="shared" si="2"/>
        <v>50639.06</v>
      </c>
    </row>
    <row r="21" spans="1:11" s="100" customFormat="1" x14ac:dyDescent="0.35">
      <c r="A21" s="125"/>
      <c r="B21" s="145" t="s">
        <v>175</v>
      </c>
      <c r="C21" s="99"/>
      <c r="D21" s="97">
        <v>64516.13</v>
      </c>
      <c r="E21" s="120">
        <v>500000</v>
      </c>
      <c r="F21" s="120">
        <v>440000</v>
      </c>
      <c r="G21" s="97">
        <v>138387</v>
      </c>
      <c r="H21" s="97">
        <v>440000</v>
      </c>
      <c r="I21" s="97"/>
      <c r="J21" s="97"/>
      <c r="K21" s="132">
        <f t="shared" si="2"/>
        <v>1582903.13</v>
      </c>
    </row>
    <row r="22" spans="1:11" s="100" customFormat="1" x14ac:dyDescent="0.35">
      <c r="A22" s="125"/>
      <c r="B22" s="145" t="s">
        <v>148</v>
      </c>
      <c r="C22" s="99"/>
      <c r="D22" s="97">
        <f>32371+17205.17+3140</f>
        <v>52716.17</v>
      </c>
      <c r="E22" s="120">
        <f>25197+11142.8+9423.72+10084+16754</f>
        <v>72601.52</v>
      </c>
      <c r="F22" s="120">
        <f>2580.75+22943</f>
        <v>25523.75</v>
      </c>
      <c r="G22" s="97">
        <v>45865</v>
      </c>
      <c r="H22" s="97">
        <f>31437.78+45297.36</f>
        <v>76735.14</v>
      </c>
      <c r="I22" s="97"/>
      <c r="J22" s="97"/>
      <c r="K22" s="132">
        <f t="shared" si="2"/>
        <v>273441.58</v>
      </c>
    </row>
    <row r="23" spans="1:11" s="100" customFormat="1" x14ac:dyDescent="0.35">
      <c r="A23" s="125"/>
      <c r="B23" s="145" t="s">
        <v>176</v>
      </c>
      <c r="C23" s="99"/>
      <c r="D23" s="97">
        <v>103860</v>
      </c>
      <c r="E23" s="120"/>
      <c r="F23" s="120"/>
      <c r="G23" s="97"/>
      <c r="H23" s="97">
        <v>116595.99</v>
      </c>
      <c r="I23" s="97"/>
      <c r="J23" s="97"/>
      <c r="K23" s="132">
        <f t="shared" si="2"/>
        <v>220455.99</v>
      </c>
    </row>
    <row r="24" spans="1:11" s="100" customFormat="1" x14ac:dyDescent="0.35">
      <c r="A24" s="125"/>
      <c r="B24" s="145" t="s">
        <v>144</v>
      </c>
      <c r="C24" s="99"/>
      <c r="D24" s="97">
        <v>9900</v>
      </c>
      <c r="E24" s="120"/>
      <c r="F24" s="120"/>
      <c r="G24" s="97"/>
      <c r="H24" s="97"/>
      <c r="I24" s="97"/>
      <c r="J24" s="97"/>
      <c r="K24" s="132">
        <f t="shared" si="2"/>
        <v>9900</v>
      </c>
    </row>
    <row r="25" spans="1:11" s="100" customFormat="1" x14ac:dyDescent="0.35">
      <c r="A25" s="125"/>
      <c r="B25" s="145" t="s">
        <v>145</v>
      </c>
      <c r="C25" s="99"/>
      <c r="D25" s="97">
        <v>15000</v>
      </c>
      <c r="E25" s="120">
        <v>70000</v>
      </c>
      <c r="F25" s="120">
        <v>70000</v>
      </c>
      <c r="G25" s="97">
        <v>70000</v>
      </c>
      <c r="H25" s="97">
        <v>70000</v>
      </c>
      <c r="I25" s="97"/>
      <c r="J25" s="97"/>
      <c r="K25" s="132">
        <f t="shared" si="2"/>
        <v>295000</v>
      </c>
    </row>
    <row r="26" spans="1:11" s="100" customFormat="1" x14ac:dyDescent="0.35">
      <c r="A26" s="125"/>
      <c r="B26" s="145" t="s">
        <v>174</v>
      </c>
      <c r="C26" s="99"/>
      <c r="D26" s="97"/>
      <c r="E26" s="120"/>
      <c r="F26" s="120"/>
      <c r="G26" s="97"/>
      <c r="H26" s="97">
        <v>50590</v>
      </c>
      <c r="I26" s="97"/>
      <c r="J26" s="97"/>
      <c r="K26" s="132">
        <f t="shared" si="2"/>
        <v>50590</v>
      </c>
    </row>
    <row r="27" spans="1:11" s="100" customFormat="1" x14ac:dyDescent="0.35">
      <c r="A27" s="125"/>
      <c r="B27" s="145" t="s">
        <v>146</v>
      </c>
      <c r="C27" s="99"/>
      <c r="D27" s="97">
        <v>55742</v>
      </c>
      <c r="E27" s="120">
        <v>127200</v>
      </c>
      <c r="F27" s="120">
        <v>127200</v>
      </c>
      <c r="G27" s="97">
        <v>127200</v>
      </c>
      <c r="H27" s="97">
        <v>127200</v>
      </c>
      <c r="I27" s="97"/>
      <c r="J27" s="97"/>
      <c r="K27" s="132">
        <f t="shared" si="2"/>
        <v>564542</v>
      </c>
    </row>
    <row r="28" spans="1:11" s="100" customFormat="1" x14ac:dyDescent="0.35">
      <c r="A28" s="125"/>
      <c r="B28" s="145" t="s">
        <v>158</v>
      </c>
      <c r="C28" s="99"/>
      <c r="D28" s="97"/>
      <c r="E28" s="120"/>
      <c r="F28" s="120">
        <v>120000</v>
      </c>
      <c r="G28" s="97">
        <v>60000</v>
      </c>
      <c r="H28" s="97"/>
      <c r="I28" s="97"/>
      <c r="J28" s="97"/>
      <c r="K28" s="132">
        <f t="shared" si="2"/>
        <v>180000</v>
      </c>
    </row>
    <row r="29" spans="1:11" s="100" customFormat="1" x14ac:dyDescent="0.35">
      <c r="A29" s="125"/>
      <c r="B29" s="145" t="s">
        <v>150</v>
      </c>
      <c r="C29" s="99"/>
      <c r="D29" s="97"/>
      <c r="E29" s="120">
        <f>48000+1800</f>
        <v>49800</v>
      </c>
      <c r="F29" s="120">
        <v>10274</v>
      </c>
      <c r="G29" s="97"/>
      <c r="H29" s="97"/>
      <c r="I29" s="97"/>
      <c r="J29" s="97"/>
      <c r="K29" s="132">
        <f t="shared" si="2"/>
        <v>60074</v>
      </c>
    </row>
    <row r="30" spans="1:11" s="100" customFormat="1" x14ac:dyDescent="0.35">
      <c r="A30" s="125"/>
      <c r="B30" s="145" t="s">
        <v>152</v>
      </c>
      <c r="C30" s="99"/>
      <c r="D30" s="97"/>
      <c r="E30" s="120">
        <v>32400</v>
      </c>
      <c r="F30" s="120"/>
      <c r="G30" s="97"/>
      <c r="H30" s="97"/>
      <c r="I30" s="97"/>
      <c r="J30" s="97"/>
      <c r="K30" s="132">
        <f t="shared" si="2"/>
        <v>32400</v>
      </c>
    </row>
    <row r="31" spans="1:11" s="100" customFormat="1" x14ac:dyDescent="0.35">
      <c r="A31" s="125"/>
      <c r="B31" s="145" t="s">
        <v>153</v>
      </c>
      <c r="C31" s="99"/>
      <c r="D31" s="97"/>
      <c r="E31" s="120">
        <v>28500</v>
      </c>
      <c r="F31" s="120">
        <f>19000+116820.82</f>
        <v>135820.82</v>
      </c>
      <c r="G31" s="97">
        <v>130248.5</v>
      </c>
      <c r="H31" s="97">
        <f>26855.36+100707.6+9500</f>
        <v>137062.96000000002</v>
      </c>
      <c r="I31" s="97"/>
      <c r="J31" s="97"/>
      <c r="K31" s="132">
        <f t="shared" si="2"/>
        <v>431632.28</v>
      </c>
    </row>
    <row r="32" spans="1:11" s="100" customFormat="1" x14ac:dyDescent="0.35">
      <c r="A32" s="125"/>
      <c r="B32" s="145" t="s">
        <v>155</v>
      </c>
      <c r="C32" s="99"/>
      <c r="D32" s="97"/>
      <c r="E32" s="120">
        <f>3000+78000</f>
        <v>81000</v>
      </c>
      <c r="F32" s="120"/>
      <c r="G32" s="97"/>
      <c r="H32" s="97"/>
      <c r="I32" s="97"/>
      <c r="J32" s="97"/>
      <c r="K32" s="132">
        <f t="shared" si="2"/>
        <v>81000</v>
      </c>
    </row>
    <row r="33" spans="1:11" s="100" customFormat="1" x14ac:dyDescent="0.35">
      <c r="A33" s="125"/>
      <c r="B33" s="145" t="s">
        <v>154</v>
      </c>
      <c r="C33" s="99"/>
      <c r="D33" s="97"/>
      <c r="E33" s="120">
        <v>50000</v>
      </c>
      <c r="F33" s="120"/>
      <c r="G33" s="97"/>
      <c r="H33" s="97"/>
      <c r="I33" s="97"/>
      <c r="J33" s="97"/>
      <c r="K33" s="132">
        <f t="shared" si="2"/>
        <v>50000</v>
      </c>
    </row>
    <row r="34" spans="1:11" s="100" customFormat="1" x14ac:dyDescent="0.35">
      <c r="A34" s="125"/>
      <c r="B34" s="145" t="s">
        <v>156</v>
      </c>
      <c r="C34" s="99"/>
      <c r="D34" s="97"/>
      <c r="E34" s="120">
        <v>12037.7</v>
      </c>
      <c r="F34" s="120">
        <f>7081+3000</f>
        <v>10081</v>
      </c>
      <c r="G34" s="97"/>
      <c r="H34" s="97">
        <v>2000</v>
      </c>
      <c r="I34" s="97"/>
      <c r="J34" s="97"/>
      <c r="K34" s="132">
        <f t="shared" si="2"/>
        <v>24118.7</v>
      </c>
    </row>
    <row r="35" spans="1:11" s="100" customFormat="1" outlineLevel="1" x14ac:dyDescent="0.35">
      <c r="A35" s="125"/>
      <c r="B35" s="145" t="s">
        <v>178</v>
      </c>
      <c r="C35" s="101"/>
      <c r="D35" s="102"/>
      <c r="E35" s="122"/>
      <c r="F35" s="122">
        <v>208890</v>
      </c>
      <c r="G35" s="102"/>
      <c r="H35" s="102">
        <f>2750+60984.46+375000+11000+8550.44</f>
        <v>458284.9</v>
      </c>
      <c r="I35" s="102"/>
      <c r="J35" s="102"/>
      <c r="K35" s="132">
        <f t="shared" si="2"/>
        <v>667174.9</v>
      </c>
    </row>
    <row r="36" spans="1:11" s="100" customFormat="1" outlineLevel="1" x14ac:dyDescent="0.35">
      <c r="A36" s="125"/>
      <c r="B36" s="145" t="s">
        <v>181</v>
      </c>
      <c r="C36" s="101"/>
      <c r="D36" s="102"/>
      <c r="E36" s="122"/>
      <c r="F36" s="122"/>
      <c r="G36" s="102"/>
      <c r="H36" s="102">
        <v>15024.1</v>
      </c>
      <c r="I36" s="102"/>
      <c r="J36" s="102"/>
      <c r="K36" s="132">
        <f t="shared" si="2"/>
        <v>15024.1</v>
      </c>
    </row>
    <row r="37" spans="1:11" s="100" customFormat="1" outlineLevel="1" x14ac:dyDescent="0.35">
      <c r="A37" s="125"/>
      <c r="B37" s="145" t="s">
        <v>165</v>
      </c>
      <c r="C37" s="101"/>
      <c r="D37" s="102"/>
      <c r="E37" s="122"/>
      <c r="F37" s="122">
        <v>24000</v>
      </c>
      <c r="G37" s="102"/>
      <c r="H37" s="102">
        <v>35000</v>
      </c>
      <c r="I37" s="102"/>
      <c r="J37" s="102"/>
      <c r="K37" s="132">
        <f t="shared" si="2"/>
        <v>59000</v>
      </c>
    </row>
    <row r="38" spans="1:11" s="100" customFormat="1" outlineLevel="1" x14ac:dyDescent="0.35">
      <c r="A38" s="125"/>
      <c r="B38" s="145" t="s">
        <v>159</v>
      </c>
      <c r="C38" s="101"/>
      <c r="D38" s="102"/>
      <c r="E38" s="122"/>
      <c r="F38" s="122">
        <v>481092.48</v>
      </c>
      <c r="G38" s="102">
        <v>286325.28000000003</v>
      </c>
      <c r="H38" s="102">
        <v>296084.15999999997</v>
      </c>
      <c r="I38" s="102"/>
      <c r="J38" s="102"/>
      <c r="K38" s="132">
        <f t="shared" si="2"/>
        <v>1063501.92</v>
      </c>
    </row>
    <row r="39" spans="1:11" s="100" customFormat="1" outlineLevel="1" x14ac:dyDescent="0.35">
      <c r="B39" s="145" t="s">
        <v>160</v>
      </c>
      <c r="C39" s="101"/>
      <c r="D39" s="102"/>
      <c r="E39" s="122"/>
      <c r="F39" s="123">
        <v>62780.03</v>
      </c>
      <c r="G39" s="119">
        <v>70898.5</v>
      </c>
      <c r="H39" s="119"/>
      <c r="I39" s="119"/>
      <c r="J39" s="119"/>
      <c r="K39" s="132">
        <f t="shared" si="2"/>
        <v>133678.53</v>
      </c>
    </row>
    <row r="40" spans="1:11" s="100" customFormat="1" outlineLevel="1" x14ac:dyDescent="0.35">
      <c r="B40" s="145" t="s">
        <v>166</v>
      </c>
      <c r="C40" s="101"/>
      <c r="D40" s="102"/>
      <c r="E40" s="122"/>
      <c r="F40" s="123"/>
      <c r="G40" s="123">
        <v>44104.66</v>
      </c>
      <c r="H40" s="119">
        <v>44104.66</v>
      </c>
      <c r="I40" s="119"/>
      <c r="J40" s="119"/>
      <c r="K40" s="132">
        <f t="shared" si="2"/>
        <v>88209.32</v>
      </c>
    </row>
    <row r="41" spans="1:11" s="100" customFormat="1" outlineLevel="1" x14ac:dyDescent="0.35">
      <c r="B41" s="145" t="s">
        <v>180</v>
      </c>
      <c r="C41" s="101"/>
      <c r="D41" s="102"/>
      <c r="E41" s="122"/>
      <c r="F41" s="123">
        <v>28084</v>
      </c>
      <c r="G41" s="119"/>
      <c r="H41" s="119">
        <f>75000+12763.9</f>
        <v>87763.9</v>
      </c>
      <c r="I41" s="119"/>
      <c r="J41" s="119"/>
      <c r="K41" s="132">
        <f t="shared" si="2"/>
        <v>115847.9</v>
      </c>
    </row>
    <row r="42" spans="1:11" s="100" customFormat="1" outlineLevel="1" x14ac:dyDescent="0.35">
      <c r="B42" s="145" t="s">
        <v>177</v>
      </c>
      <c r="C42" s="101"/>
      <c r="D42" s="102"/>
      <c r="E42" s="122"/>
      <c r="F42" s="123">
        <v>28000</v>
      </c>
      <c r="G42" s="119"/>
      <c r="H42" s="119">
        <v>34260</v>
      </c>
      <c r="I42" s="119"/>
      <c r="J42" s="119"/>
      <c r="K42" s="132">
        <f t="shared" si="2"/>
        <v>62260</v>
      </c>
    </row>
    <row r="43" spans="1:11" s="100" customFormat="1" outlineLevel="1" x14ac:dyDescent="0.35">
      <c r="B43" s="145" t="s">
        <v>161</v>
      </c>
      <c r="C43" s="101"/>
      <c r="D43" s="102"/>
      <c r="E43" s="122"/>
      <c r="F43" s="123">
        <v>8000</v>
      </c>
      <c r="G43" s="119">
        <f>172742.9+26784+51772</f>
        <v>251298.9</v>
      </c>
      <c r="H43" s="119">
        <f>117674+1548.38</f>
        <v>119222.38</v>
      </c>
      <c r="I43" s="119"/>
      <c r="J43" s="119"/>
      <c r="K43" s="132">
        <f t="shared" si="2"/>
        <v>378521.28</v>
      </c>
    </row>
    <row r="44" spans="1:11" s="100" customFormat="1" outlineLevel="1" x14ac:dyDescent="0.35">
      <c r="B44" s="145" t="s">
        <v>168</v>
      </c>
      <c r="C44" s="101"/>
      <c r="D44" s="102"/>
      <c r="E44" s="122"/>
      <c r="F44" s="123"/>
      <c r="G44" s="119">
        <v>290000</v>
      </c>
      <c r="H44" s="119">
        <v>290000</v>
      </c>
      <c r="I44" s="119"/>
      <c r="J44" s="119"/>
      <c r="K44" s="132">
        <f t="shared" si="2"/>
        <v>580000</v>
      </c>
    </row>
    <row r="45" spans="1:11" s="100" customFormat="1" outlineLevel="1" x14ac:dyDescent="0.35">
      <c r="B45" s="145" t="s">
        <v>169</v>
      </c>
      <c r="C45" s="101"/>
      <c r="D45" s="102"/>
      <c r="E45" s="122"/>
      <c r="F45" s="123"/>
      <c r="G45" s="119">
        <v>169269.9</v>
      </c>
      <c r="H45" s="119">
        <f>9312.9+67674</f>
        <v>76986.899999999994</v>
      </c>
      <c r="I45" s="119"/>
      <c r="J45" s="119"/>
      <c r="K45" s="132">
        <f t="shared" si="2"/>
        <v>246256.8</v>
      </c>
    </row>
    <row r="46" spans="1:11" s="100" customFormat="1" outlineLevel="1" x14ac:dyDescent="0.35">
      <c r="B46" s="145" t="s">
        <v>170</v>
      </c>
      <c r="C46" s="101"/>
      <c r="D46" s="102"/>
      <c r="E46" s="122"/>
      <c r="F46" s="123"/>
      <c r="G46" s="119">
        <v>238000</v>
      </c>
      <c r="H46" s="119"/>
      <c r="I46" s="119"/>
      <c r="J46" s="119"/>
      <c r="K46" s="132">
        <f t="shared" si="2"/>
        <v>238000</v>
      </c>
    </row>
    <row r="47" spans="1:11" s="100" customFormat="1" outlineLevel="1" x14ac:dyDescent="0.35">
      <c r="B47" s="145" t="s">
        <v>171</v>
      </c>
      <c r="C47" s="101"/>
      <c r="D47" s="102"/>
      <c r="E47" s="122"/>
      <c r="F47" s="123"/>
      <c r="G47" s="119">
        <v>27950</v>
      </c>
      <c r="H47" s="119"/>
      <c r="I47" s="119"/>
      <c r="J47" s="119"/>
      <c r="K47" s="132">
        <f t="shared" si="2"/>
        <v>27950</v>
      </c>
    </row>
    <row r="48" spans="1:11" s="100" customFormat="1" ht="16" outlineLevel="1" thickBot="1" x14ac:dyDescent="0.4">
      <c r="A48" s="140"/>
      <c r="B48" s="149" t="s">
        <v>151</v>
      </c>
      <c r="C48" s="146"/>
      <c r="D48" s="147"/>
      <c r="E48" s="148">
        <f>4800+6043.42</f>
        <v>10843.42</v>
      </c>
      <c r="F48" s="147"/>
      <c r="G48" s="147">
        <v>17076.490000000002</v>
      </c>
      <c r="H48" s="147">
        <v>798.91</v>
      </c>
      <c r="I48" s="147"/>
      <c r="J48" s="147"/>
      <c r="K48" s="136">
        <f>SUM(D48:J48)</f>
        <v>28718.820000000003</v>
      </c>
    </row>
    <row r="49" spans="1:11" x14ac:dyDescent="0.35">
      <c r="A49" s="107" t="s">
        <v>133</v>
      </c>
      <c r="B49" s="108" t="s">
        <v>134</v>
      </c>
      <c r="C49" s="141">
        <v>539508</v>
      </c>
      <c r="D49" s="141">
        <f>C50+D4-D10</f>
        <v>1308095.0099999998</v>
      </c>
      <c r="E49" s="141">
        <f t="shared" ref="E49:J49" si="3">D49+E4-E10</f>
        <v>453632.57999999984</v>
      </c>
      <c r="F49" s="141">
        <f t="shared" si="3"/>
        <v>440518.18000000017</v>
      </c>
      <c r="G49" s="141">
        <f t="shared" si="3"/>
        <v>492768.12999999989</v>
      </c>
      <c r="H49" s="141">
        <f t="shared" si="3"/>
        <v>215754.72999999998</v>
      </c>
      <c r="I49" s="141">
        <f t="shared" si="3"/>
        <v>215754.72999999998</v>
      </c>
      <c r="J49" s="141">
        <f t="shared" si="3"/>
        <v>215754.72999999998</v>
      </c>
      <c r="K49" s="109"/>
    </row>
    <row r="50" spans="1:11" s="103" customFormat="1" ht="14.5" x14ac:dyDescent="0.35">
      <c r="A50" s="110" t="s">
        <v>135</v>
      </c>
      <c r="B50" s="111" t="s">
        <v>137</v>
      </c>
      <c r="C50" s="112">
        <v>539508.27</v>
      </c>
      <c r="D50" s="112">
        <f t="shared" ref="D50:J50" si="4">C50+D4-D10</f>
        <v>1308095.0099999998</v>
      </c>
      <c r="E50" s="112">
        <f t="shared" si="4"/>
        <v>453632.57999999984</v>
      </c>
      <c r="F50" s="112">
        <f t="shared" si="4"/>
        <v>440518.18000000017</v>
      </c>
      <c r="G50" s="112">
        <f t="shared" si="4"/>
        <v>492768.12999999989</v>
      </c>
      <c r="H50" s="112">
        <f t="shared" si="4"/>
        <v>215754.72999999998</v>
      </c>
      <c r="I50" s="112">
        <f t="shared" si="4"/>
        <v>215754.72999999998</v>
      </c>
      <c r="J50" s="112">
        <f t="shared" si="4"/>
        <v>215754.72999999998</v>
      </c>
      <c r="K50" s="112"/>
    </row>
    <row r="51" spans="1:11" s="100" customFormat="1" ht="14" hidden="1" outlineLevel="1" x14ac:dyDescent="0.35">
      <c r="A51" s="113"/>
      <c r="B51" s="114" t="s">
        <v>124</v>
      </c>
      <c r="C51" s="115">
        <f>'[1]ОДДС (свод)'!C47</f>
        <v>23.5219100000011</v>
      </c>
      <c r="D51" s="115" t="e">
        <f>C51+#REF!</f>
        <v>#REF!</v>
      </c>
      <c r="E51" s="115" t="e">
        <f>D51+#REF!</f>
        <v>#REF!</v>
      </c>
      <c r="F51" s="115" t="e">
        <f>E51+#REF!</f>
        <v>#REF!</v>
      </c>
      <c r="G51" s="115" t="e">
        <f>F51+#REF!</f>
        <v>#REF!</v>
      </c>
      <c r="H51" s="115" t="e">
        <f>G51+#REF!</f>
        <v>#REF!</v>
      </c>
      <c r="I51" s="115" t="e">
        <f>H51+#REF!</f>
        <v>#REF!</v>
      </c>
      <c r="J51" s="115" t="e">
        <f>I51+#REF!</f>
        <v>#REF!</v>
      </c>
      <c r="K51" s="115" t="e">
        <f>#REF!+#REF!</f>
        <v>#REF!</v>
      </c>
    </row>
    <row r="52" spans="1:11" s="100" customFormat="1" ht="14" hidden="1" outlineLevel="1" x14ac:dyDescent="0.35">
      <c r="A52" s="98"/>
      <c r="B52" s="99" t="s">
        <v>116</v>
      </c>
      <c r="C52" s="115">
        <f>'[1]ОДДС (свод)'!C48</f>
        <v>625.98748999999998</v>
      </c>
      <c r="D52" s="102" t="e">
        <f>C52+#REF!</f>
        <v>#REF!</v>
      </c>
      <c r="E52" s="102" t="e">
        <f>D52+#REF!</f>
        <v>#REF!</v>
      </c>
      <c r="F52" s="102" t="e">
        <f>E52+#REF!</f>
        <v>#REF!</v>
      </c>
      <c r="G52" s="102" t="e">
        <f>F52+#REF!</f>
        <v>#REF!</v>
      </c>
      <c r="H52" s="102" t="e">
        <f>G52+#REF!</f>
        <v>#REF!</v>
      </c>
      <c r="I52" s="102" t="e">
        <f>H52+#REF!</f>
        <v>#REF!</v>
      </c>
      <c r="J52" s="102" t="e">
        <f>I52+#REF!</f>
        <v>#REF!</v>
      </c>
      <c r="K52" s="102" t="e">
        <f>#REF!+#REF!</f>
        <v>#REF!</v>
      </c>
    </row>
    <row r="53" spans="1:11" s="100" customFormat="1" ht="14" hidden="1" outlineLevel="1" x14ac:dyDescent="0.35">
      <c r="A53" s="104"/>
      <c r="B53" s="105" t="s">
        <v>117</v>
      </c>
      <c r="C53" s="106">
        <f>'[1]ОДДС (свод)'!C49</f>
        <v>630.54304999999999</v>
      </c>
      <c r="D53" s="106" t="e">
        <f>C53+#REF!</f>
        <v>#REF!</v>
      </c>
      <c r="E53" s="106" t="e">
        <f>D53+#REF!</f>
        <v>#REF!</v>
      </c>
      <c r="F53" s="106" t="e">
        <f>E53+#REF!</f>
        <v>#REF!</v>
      </c>
      <c r="G53" s="106" t="e">
        <f>F53+#REF!</f>
        <v>#REF!</v>
      </c>
      <c r="H53" s="106" t="e">
        <f>G53+#REF!</f>
        <v>#REF!</v>
      </c>
      <c r="I53" s="106" t="e">
        <f>H53+#REF!</f>
        <v>#REF!</v>
      </c>
      <c r="J53" s="106" t="e">
        <f>I53+#REF!</f>
        <v>#REF!</v>
      </c>
      <c r="K53" s="106" t="e">
        <f>#REF!+#REF!</f>
        <v>#REF!</v>
      </c>
    </row>
    <row r="54" spans="1:11" collapsed="1" x14ac:dyDescent="0.35"/>
  </sheetData>
  <mergeCells count="1">
    <mergeCell ref="B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O5"/>
  <sheetViews>
    <sheetView workbookViewId="0">
      <selection activeCell="B11" sqref="B11"/>
    </sheetView>
  </sheetViews>
  <sheetFormatPr defaultRowHeight="14.5" x14ac:dyDescent="0.35"/>
  <cols>
    <col min="2" max="2" width="40.81640625" customWidth="1"/>
    <col min="3" max="3" width="16.7265625" customWidth="1"/>
    <col min="4" max="4" width="13.453125" customWidth="1"/>
    <col min="5" max="5" width="17.54296875" customWidth="1"/>
    <col min="6" max="6" width="16.453125" customWidth="1"/>
    <col min="7" max="7" width="15.1796875" customWidth="1"/>
    <col min="8" max="8" width="15.26953125" customWidth="1"/>
    <col min="9" max="9" width="14.453125" customWidth="1"/>
    <col min="10" max="10" width="16.54296875" customWidth="1"/>
    <col min="11" max="11" width="16.453125" customWidth="1"/>
    <col min="12" max="13" width="14" customWidth="1"/>
    <col min="14" max="14" width="13.1796875" customWidth="1"/>
    <col min="15" max="15" width="16.7265625" customWidth="1"/>
  </cols>
  <sheetData>
    <row r="3" spans="1:15" x14ac:dyDescent="0.35">
      <c r="A3" s="4" t="s">
        <v>18</v>
      </c>
      <c r="B3" s="4"/>
      <c r="C3" s="34">
        <v>65564.55</v>
      </c>
      <c r="D3" s="34">
        <v>67992.22</v>
      </c>
      <c r="E3" s="34">
        <v>66602.429999999993</v>
      </c>
      <c r="F3" s="27">
        <v>65635.740000000005</v>
      </c>
      <c r="G3" s="34">
        <v>68642.73</v>
      </c>
      <c r="H3" s="34">
        <v>63893.88</v>
      </c>
      <c r="I3" s="34">
        <v>57373.32</v>
      </c>
      <c r="J3" s="34">
        <v>82514.47</v>
      </c>
      <c r="K3" s="34">
        <v>70465.679999999993</v>
      </c>
      <c r="L3" s="34">
        <v>65305.94</v>
      </c>
      <c r="M3" s="34">
        <v>93704.639999999999</v>
      </c>
      <c r="N3" s="34">
        <v>81106.05</v>
      </c>
      <c r="O3" s="28">
        <f>C3+D3+E3+F3+G3+H3+I3+J3+K3+L3+M3+N3</f>
        <v>848801.65</v>
      </c>
    </row>
    <row r="4" spans="1:15" x14ac:dyDescent="0.35">
      <c r="A4" s="29" t="s">
        <v>17</v>
      </c>
      <c r="B4" s="4"/>
      <c r="C4" s="30">
        <v>-59535.6</v>
      </c>
      <c r="D4" s="30">
        <v>-77302.8</v>
      </c>
      <c r="E4" s="30">
        <v>-64272</v>
      </c>
      <c r="F4" s="30">
        <v>-131995.20000000001</v>
      </c>
      <c r="G4" s="30">
        <v>-41049.599999999999</v>
      </c>
      <c r="H4" s="30">
        <v>-39861.599999999999</v>
      </c>
      <c r="I4" s="30">
        <v>-43269.599999999999</v>
      </c>
      <c r="J4" s="30">
        <v>-52952.4</v>
      </c>
      <c r="K4" s="30">
        <v>-69675.600000000006</v>
      </c>
      <c r="L4" s="30">
        <v>-69333.600000000006</v>
      </c>
      <c r="M4" s="30">
        <v>-78275.199999999997</v>
      </c>
      <c r="N4" s="30">
        <v>-87374.399999999994</v>
      </c>
      <c r="O4" s="31">
        <f>C4+D4+E4+F4+G4+H4+I4+J4+K4+L4+M4+N4</f>
        <v>-814897.59999999986</v>
      </c>
    </row>
    <row r="5" spans="1:15" ht="15.5" x14ac:dyDescent="0.35">
      <c r="A5" s="32" t="s">
        <v>3</v>
      </c>
      <c r="B5" s="4"/>
      <c r="C5" s="35">
        <f t="shared" ref="C5:O5" si="0">C3+C4</f>
        <v>6028.9500000000044</v>
      </c>
      <c r="D5" s="33">
        <f t="shared" si="0"/>
        <v>-9310.5800000000017</v>
      </c>
      <c r="E5" s="35">
        <f t="shared" si="0"/>
        <v>2330.429999999993</v>
      </c>
      <c r="F5" s="33">
        <f t="shared" si="0"/>
        <v>-66359.460000000006</v>
      </c>
      <c r="G5" s="35">
        <f t="shared" si="0"/>
        <v>27593.129999999997</v>
      </c>
      <c r="H5" s="35">
        <f t="shared" si="0"/>
        <v>24032.28</v>
      </c>
      <c r="I5" s="35">
        <f t="shared" si="0"/>
        <v>14103.720000000001</v>
      </c>
      <c r="J5" s="35">
        <f t="shared" si="0"/>
        <v>29562.07</v>
      </c>
      <c r="K5" s="35">
        <f t="shared" si="0"/>
        <v>790.07999999998719</v>
      </c>
      <c r="L5" s="33">
        <f t="shared" si="0"/>
        <v>-4027.6600000000035</v>
      </c>
      <c r="M5" s="35">
        <f t="shared" si="0"/>
        <v>15429.440000000002</v>
      </c>
      <c r="N5" s="33">
        <f t="shared" si="0"/>
        <v>-6268.3499999999913</v>
      </c>
      <c r="O5" s="35">
        <f t="shared" si="0"/>
        <v>33904.050000000163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M81"/>
  <sheetViews>
    <sheetView topLeftCell="A31" workbookViewId="0">
      <selection activeCell="E23" sqref="E23"/>
    </sheetView>
  </sheetViews>
  <sheetFormatPr defaultRowHeight="14.5" x14ac:dyDescent="0.35"/>
  <cols>
    <col min="3" max="3" width="20.26953125" customWidth="1"/>
    <col min="4" max="4" width="21.81640625" customWidth="1"/>
    <col min="5" max="5" width="25.7265625" customWidth="1"/>
    <col min="7" max="7" width="20" customWidth="1"/>
  </cols>
  <sheetData>
    <row r="3" spans="2:12" ht="13.5" customHeight="1" x14ac:dyDescent="0.35">
      <c r="B3" s="167" t="s">
        <v>36</v>
      </c>
      <c r="C3" s="167"/>
      <c r="D3" s="167"/>
      <c r="E3" s="167"/>
      <c r="F3" s="167"/>
      <c r="G3" s="167"/>
      <c r="H3" s="167"/>
      <c r="I3" s="167"/>
      <c r="J3" s="167"/>
      <c r="K3" s="7"/>
      <c r="L3" s="7"/>
    </row>
    <row r="4" spans="2:12" ht="27.75" customHeight="1" x14ac:dyDescent="0.35">
      <c r="B4" s="166" t="s">
        <v>37</v>
      </c>
      <c r="C4" s="166"/>
      <c r="D4" s="166"/>
      <c r="E4" s="166"/>
      <c r="F4" s="166"/>
      <c r="G4" s="166"/>
      <c r="H4" s="166"/>
      <c r="I4" s="166"/>
      <c r="J4" s="166"/>
      <c r="K4" s="7"/>
      <c r="L4" s="7"/>
    </row>
    <row r="5" spans="2:12" x14ac:dyDescent="0.35"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2:12" ht="20" x14ac:dyDescent="0.35">
      <c r="B6" s="9" t="s">
        <v>38</v>
      </c>
      <c r="C6" s="9" t="s">
        <v>39</v>
      </c>
      <c r="D6" s="7"/>
      <c r="E6" s="7"/>
      <c r="F6" s="7"/>
      <c r="G6" s="7"/>
      <c r="H6" s="7"/>
      <c r="I6" s="7"/>
      <c r="J6" s="7"/>
      <c r="K6" s="7"/>
      <c r="L6" s="7"/>
    </row>
    <row r="7" spans="2:12" x14ac:dyDescent="0.35"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2:12" ht="39" customHeight="1" x14ac:dyDescent="0.35">
      <c r="B8" s="9" t="s">
        <v>40</v>
      </c>
      <c r="C8" s="168" t="s">
        <v>41</v>
      </c>
      <c r="D8" s="168"/>
      <c r="E8" s="168"/>
      <c r="F8" s="7"/>
      <c r="G8" s="7"/>
      <c r="H8" s="7"/>
      <c r="I8" s="7"/>
      <c r="J8" s="7"/>
      <c r="K8" s="7"/>
      <c r="L8" s="7"/>
    </row>
    <row r="9" spans="2:12" x14ac:dyDescent="0.35"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2:12" x14ac:dyDescent="0.35">
      <c r="B10" s="170" t="s">
        <v>0</v>
      </c>
      <c r="C10" s="159" t="s">
        <v>42</v>
      </c>
      <c r="D10" s="159" t="s">
        <v>43</v>
      </c>
      <c r="E10" s="163" t="s">
        <v>44</v>
      </c>
      <c r="F10" s="165" t="s">
        <v>45</v>
      </c>
      <c r="G10" s="165"/>
      <c r="H10" s="171" t="s">
        <v>46</v>
      </c>
      <c r="I10" s="171"/>
      <c r="J10" s="171"/>
      <c r="K10" s="159" t="s">
        <v>47</v>
      </c>
      <c r="L10" s="159"/>
    </row>
    <row r="11" spans="2:12" x14ac:dyDescent="0.35">
      <c r="B11" s="160"/>
      <c r="C11" s="162"/>
      <c r="D11" s="162"/>
      <c r="E11" s="164"/>
      <c r="F11" s="10" t="s">
        <v>48</v>
      </c>
      <c r="G11" s="11"/>
      <c r="H11" s="11" t="s">
        <v>48</v>
      </c>
      <c r="I11" s="169"/>
      <c r="J11" s="169"/>
      <c r="K11" s="160"/>
      <c r="L11" s="161"/>
    </row>
    <row r="12" spans="2:12" x14ac:dyDescent="0.35">
      <c r="B12" s="21" t="s">
        <v>49</v>
      </c>
      <c r="C12" s="21"/>
      <c r="D12" s="21"/>
      <c r="E12" s="21"/>
      <c r="F12" s="21"/>
      <c r="G12" s="21"/>
      <c r="H12" s="21"/>
      <c r="I12" s="21"/>
      <c r="J12" s="21"/>
      <c r="K12" s="12"/>
      <c r="L12" s="13">
        <v>0</v>
      </c>
    </row>
    <row r="13" spans="2:12" ht="92" x14ac:dyDescent="0.35">
      <c r="B13" s="14" t="s">
        <v>50</v>
      </c>
      <c r="C13" s="15" t="s">
        <v>51</v>
      </c>
      <c r="D13" s="15" t="s">
        <v>52</v>
      </c>
      <c r="E13" s="15" t="s">
        <v>53</v>
      </c>
      <c r="F13" s="16" t="s">
        <v>54</v>
      </c>
      <c r="G13" s="26">
        <v>23020</v>
      </c>
      <c r="H13" s="16" t="s">
        <v>55</v>
      </c>
      <c r="I13" s="158"/>
      <c r="J13" s="158"/>
      <c r="K13" s="17"/>
      <c r="L13" s="18"/>
    </row>
    <row r="14" spans="2:12" ht="92" x14ac:dyDescent="0.35">
      <c r="B14" s="14" t="s">
        <v>56</v>
      </c>
      <c r="C14" s="15" t="s">
        <v>57</v>
      </c>
      <c r="D14" s="15" t="s">
        <v>52</v>
      </c>
      <c r="E14" s="15" t="s">
        <v>58</v>
      </c>
      <c r="F14" s="16" t="s">
        <v>54</v>
      </c>
      <c r="G14" s="22">
        <v>30355</v>
      </c>
      <c r="H14" s="16" t="s">
        <v>55</v>
      </c>
      <c r="I14" s="158"/>
      <c r="J14" s="158"/>
      <c r="K14" s="17"/>
      <c r="L14" s="18"/>
    </row>
    <row r="15" spans="2:12" ht="92" x14ac:dyDescent="0.35">
      <c r="B15" s="14" t="s">
        <v>59</v>
      </c>
      <c r="C15" s="15" t="s">
        <v>60</v>
      </c>
      <c r="D15" s="15" t="s">
        <v>52</v>
      </c>
      <c r="E15" s="15" t="s">
        <v>61</v>
      </c>
      <c r="F15" s="16" t="s">
        <v>54</v>
      </c>
      <c r="G15" s="22">
        <v>8240</v>
      </c>
      <c r="H15" s="16" t="s">
        <v>55</v>
      </c>
      <c r="I15" s="158"/>
      <c r="J15" s="158"/>
      <c r="K15" s="17"/>
      <c r="L15" s="18"/>
    </row>
    <row r="16" spans="2:12" ht="80.5" x14ac:dyDescent="0.35">
      <c r="B16" s="14" t="s">
        <v>59</v>
      </c>
      <c r="C16" s="15" t="s">
        <v>62</v>
      </c>
      <c r="D16" s="15" t="s">
        <v>52</v>
      </c>
      <c r="E16" s="15" t="s">
        <v>63</v>
      </c>
      <c r="F16" s="16" t="s">
        <v>54</v>
      </c>
      <c r="G16" s="23">
        <v>2740</v>
      </c>
      <c r="H16" s="16" t="s">
        <v>64</v>
      </c>
      <c r="I16" s="158"/>
      <c r="J16" s="158"/>
      <c r="K16" s="17"/>
      <c r="L16" s="18"/>
    </row>
    <row r="17" spans="2:13" ht="80.5" x14ac:dyDescent="0.35">
      <c r="B17" s="14" t="s">
        <v>59</v>
      </c>
      <c r="C17" s="15" t="s">
        <v>62</v>
      </c>
      <c r="D17" s="15" t="s">
        <v>52</v>
      </c>
      <c r="E17" s="15" t="s">
        <v>65</v>
      </c>
      <c r="F17" s="16" t="s">
        <v>54</v>
      </c>
      <c r="G17" s="23">
        <v>9394</v>
      </c>
      <c r="H17" s="16" t="s">
        <v>64</v>
      </c>
      <c r="I17" s="158"/>
      <c r="J17" s="158"/>
      <c r="K17" s="17"/>
      <c r="L17" s="18"/>
    </row>
    <row r="18" spans="2:13" ht="80.5" x14ac:dyDescent="0.35">
      <c r="B18" s="14" t="s">
        <v>66</v>
      </c>
      <c r="C18" s="15" t="s">
        <v>67</v>
      </c>
      <c r="D18" s="15" t="s">
        <v>52</v>
      </c>
      <c r="E18" s="15" t="s">
        <v>68</v>
      </c>
      <c r="F18" s="16" t="s">
        <v>54</v>
      </c>
      <c r="G18" s="22">
        <v>5022.05</v>
      </c>
      <c r="H18" s="16" t="s">
        <v>69</v>
      </c>
      <c r="I18" s="158"/>
      <c r="J18" s="158"/>
      <c r="K18" s="17"/>
      <c r="L18" s="18"/>
    </row>
    <row r="19" spans="2:13" ht="80.5" x14ac:dyDescent="0.35">
      <c r="B19" s="14" t="s">
        <v>66</v>
      </c>
      <c r="C19" s="15" t="s">
        <v>67</v>
      </c>
      <c r="D19" s="15" t="s">
        <v>52</v>
      </c>
      <c r="E19" s="15" t="s">
        <v>70</v>
      </c>
      <c r="F19" s="16" t="s">
        <v>54</v>
      </c>
      <c r="G19" s="22">
        <v>18012</v>
      </c>
      <c r="H19" s="16" t="s">
        <v>69</v>
      </c>
      <c r="I19" s="158"/>
      <c r="J19" s="158"/>
      <c r="K19" s="17"/>
      <c r="L19" s="18"/>
    </row>
    <row r="20" spans="2:13" ht="92" x14ac:dyDescent="0.35">
      <c r="B20" s="14" t="s">
        <v>66</v>
      </c>
      <c r="C20" s="15" t="s">
        <v>71</v>
      </c>
      <c r="D20" s="15" t="s">
        <v>52</v>
      </c>
      <c r="E20" s="15" t="s">
        <v>72</v>
      </c>
      <c r="F20" s="16" t="s">
        <v>54</v>
      </c>
      <c r="G20" s="24">
        <v>564.33000000000004</v>
      </c>
      <c r="H20" s="16" t="s">
        <v>55</v>
      </c>
      <c r="I20" s="158"/>
      <c r="J20" s="158"/>
      <c r="K20" s="17"/>
      <c r="L20" s="18"/>
    </row>
    <row r="21" spans="2:13" ht="80.5" x14ac:dyDescent="0.35">
      <c r="B21" s="14" t="s">
        <v>66</v>
      </c>
      <c r="C21" s="15" t="s">
        <v>73</v>
      </c>
      <c r="D21" s="15" t="s">
        <v>52</v>
      </c>
      <c r="E21" s="15" t="s">
        <v>74</v>
      </c>
      <c r="F21" s="16" t="s">
        <v>54</v>
      </c>
      <c r="G21" s="22">
        <v>24000</v>
      </c>
      <c r="H21" s="16" t="s">
        <v>55</v>
      </c>
      <c r="I21" s="158"/>
      <c r="J21" s="158"/>
      <c r="K21" s="17"/>
      <c r="L21" s="18"/>
    </row>
    <row r="22" spans="2:13" ht="80.5" x14ac:dyDescent="0.35">
      <c r="B22" s="14" t="s">
        <v>66</v>
      </c>
      <c r="C22" s="15" t="s">
        <v>75</v>
      </c>
      <c r="D22" s="15" t="s">
        <v>52</v>
      </c>
      <c r="E22" s="15" t="s">
        <v>76</v>
      </c>
      <c r="F22" s="16" t="s">
        <v>54</v>
      </c>
      <c r="G22" s="23">
        <v>9394</v>
      </c>
      <c r="H22" s="16" t="s">
        <v>64</v>
      </c>
      <c r="I22" s="158"/>
      <c r="J22" s="158"/>
      <c r="K22" s="17"/>
      <c r="L22" s="18"/>
    </row>
    <row r="23" spans="2:13" ht="80.5" x14ac:dyDescent="0.35">
      <c r="B23" s="14" t="s">
        <v>66</v>
      </c>
      <c r="C23" s="15" t="s">
        <v>75</v>
      </c>
      <c r="D23" s="15" t="s">
        <v>52</v>
      </c>
      <c r="E23" s="15" t="s">
        <v>77</v>
      </c>
      <c r="F23" s="16" t="s">
        <v>54</v>
      </c>
      <c r="G23" s="23">
        <v>3442</v>
      </c>
      <c r="H23" s="16" t="s">
        <v>64</v>
      </c>
      <c r="I23" s="158"/>
      <c r="J23" s="158"/>
      <c r="K23" s="17"/>
      <c r="L23" s="18"/>
    </row>
    <row r="24" spans="2:13" x14ac:dyDescent="0.35">
      <c r="B24" s="155" t="s">
        <v>78</v>
      </c>
      <c r="C24" s="155"/>
      <c r="D24" s="155"/>
      <c r="E24" s="155"/>
      <c r="F24" s="156">
        <v>134183.38</v>
      </c>
      <c r="G24" s="156"/>
      <c r="H24" s="157">
        <v>0</v>
      </c>
      <c r="I24" s="157"/>
      <c r="J24" s="157"/>
      <c r="K24" s="19"/>
      <c r="L24" s="20">
        <v>0</v>
      </c>
    </row>
    <row r="25" spans="2:13" x14ac:dyDescent="0.35">
      <c r="B25" s="7"/>
      <c r="C25" s="7"/>
      <c r="D25" s="7"/>
      <c r="E25" s="7"/>
      <c r="F25" s="7"/>
      <c r="G25" s="25"/>
      <c r="H25" s="7"/>
      <c r="I25" s="7"/>
      <c r="J25" s="7"/>
      <c r="K25" s="7"/>
      <c r="L25" s="7"/>
    </row>
    <row r="26" spans="2:13" x14ac:dyDescent="0.35"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2:13" x14ac:dyDescent="0.35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2:13" ht="52.5" x14ac:dyDescent="0.35">
      <c r="B28" s="6" t="s">
        <v>36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</row>
    <row r="29" spans="2:13" ht="93" x14ac:dyDescent="0.35">
      <c r="B29" s="8" t="s">
        <v>79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</row>
    <row r="30" spans="2:13" x14ac:dyDescent="0.35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</row>
    <row r="31" spans="2:13" ht="20" x14ac:dyDescent="0.35">
      <c r="B31" s="9" t="s">
        <v>38</v>
      </c>
      <c r="C31" s="9" t="s">
        <v>39</v>
      </c>
      <c r="D31" s="7"/>
      <c r="E31" s="7"/>
      <c r="F31" s="7"/>
      <c r="G31" s="7"/>
      <c r="H31" s="7"/>
      <c r="I31" s="7"/>
      <c r="J31" s="7"/>
      <c r="K31" s="7"/>
      <c r="L31" s="7"/>
      <c r="M31" s="7"/>
    </row>
    <row r="32" spans="2:13" x14ac:dyDescent="0.35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</row>
    <row r="33" spans="2:13" ht="80" x14ac:dyDescent="0.35">
      <c r="B33" s="9" t="s">
        <v>40</v>
      </c>
      <c r="C33" s="9" t="s">
        <v>80</v>
      </c>
      <c r="D33" s="7"/>
      <c r="E33" s="7"/>
      <c r="F33" s="7"/>
      <c r="G33" s="7"/>
      <c r="H33" s="7"/>
      <c r="I33" s="7"/>
      <c r="J33" s="7"/>
      <c r="K33" s="7"/>
      <c r="L33" s="7"/>
      <c r="M33" s="7"/>
    </row>
    <row r="34" spans="2:13" x14ac:dyDescent="0.35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</row>
    <row r="35" spans="2:13" x14ac:dyDescent="0.35">
      <c r="B35" s="170" t="s">
        <v>0</v>
      </c>
      <c r="C35" s="159" t="s">
        <v>42</v>
      </c>
      <c r="D35" s="159" t="s">
        <v>43</v>
      </c>
      <c r="E35" s="163" t="s">
        <v>44</v>
      </c>
      <c r="F35" s="165" t="s">
        <v>45</v>
      </c>
      <c r="G35" s="165"/>
      <c r="H35" s="165"/>
      <c r="I35" s="171" t="s">
        <v>46</v>
      </c>
      <c r="J35" s="171"/>
      <c r="K35" s="171"/>
      <c r="L35" s="159" t="s">
        <v>47</v>
      </c>
      <c r="M35" s="159"/>
    </row>
    <row r="36" spans="2:13" x14ac:dyDescent="0.35">
      <c r="B36" s="160"/>
      <c r="C36" s="162"/>
      <c r="D36" s="162"/>
      <c r="E36" s="164"/>
      <c r="F36" s="10" t="s">
        <v>48</v>
      </c>
      <c r="G36" s="169"/>
      <c r="H36" s="169"/>
      <c r="I36" s="11" t="s">
        <v>48</v>
      </c>
      <c r="J36" s="169"/>
      <c r="K36" s="169"/>
      <c r="L36" s="160"/>
      <c r="M36" s="161"/>
    </row>
    <row r="37" spans="2:13" x14ac:dyDescent="0.35">
      <c r="B37" s="173" t="s">
        <v>49</v>
      </c>
      <c r="C37" s="173"/>
      <c r="D37" s="173"/>
      <c r="E37" s="173"/>
      <c r="F37" s="174"/>
      <c r="G37" s="174"/>
      <c r="H37" s="174"/>
      <c r="I37" s="174"/>
      <c r="J37" s="174"/>
      <c r="K37" s="174"/>
      <c r="L37" s="12"/>
      <c r="M37" s="13">
        <v>0</v>
      </c>
    </row>
    <row r="38" spans="2:13" ht="69" x14ac:dyDescent="0.35">
      <c r="B38" s="14" t="s">
        <v>81</v>
      </c>
      <c r="C38" s="15" t="s">
        <v>82</v>
      </c>
      <c r="D38" s="15" t="s">
        <v>83</v>
      </c>
      <c r="E38" s="15" t="s">
        <v>84</v>
      </c>
      <c r="F38" s="16" t="s">
        <v>54</v>
      </c>
      <c r="G38" s="172">
        <v>-6950</v>
      </c>
      <c r="H38" s="172"/>
      <c r="I38" s="16" t="s">
        <v>55</v>
      </c>
      <c r="J38" s="158"/>
      <c r="K38" s="158"/>
      <c r="L38" s="17"/>
      <c r="M38" s="18"/>
    </row>
    <row r="39" spans="2:13" ht="69" x14ac:dyDescent="0.35">
      <c r="B39" s="14" t="s">
        <v>81</v>
      </c>
      <c r="C39" s="15" t="s">
        <v>85</v>
      </c>
      <c r="D39" s="15" t="s">
        <v>83</v>
      </c>
      <c r="E39" s="15" t="s">
        <v>86</v>
      </c>
      <c r="F39" s="16" t="s">
        <v>54</v>
      </c>
      <c r="G39" s="175">
        <v>1419.07</v>
      </c>
      <c r="H39" s="175"/>
      <c r="I39" s="16" t="s">
        <v>87</v>
      </c>
      <c r="J39" s="158"/>
      <c r="K39" s="158"/>
      <c r="L39" s="17"/>
      <c r="M39" s="18"/>
    </row>
    <row r="40" spans="2:13" ht="80.5" x14ac:dyDescent="0.35">
      <c r="B40" s="14" t="s">
        <v>88</v>
      </c>
      <c r="C40" s="15" t="s">
        <v>89</v>
      </c>
      <c r="D40" s="15" t="s">
        <v>83</v>
      </c>
      <c r="E40" s="15" t="s">
        <v>90</v>
      </c>
      <c r="F40" s="16" t="s">
        <v>54</v>
      </c>
      <c r="G40" s="175">
        <v>9500</v>
      </c>
      <c r="H40" s="175"/>
      <c r="I40" s="16" t="s">
        <v>55</v>
      </c>
      <c r="J40" s="158"/>
      <c r="K40" s="158"/>
      <c r="L40" s="17"/>
      <c r="M40" s="18"/>
    </row>
    <row r="41" spans="2:13" ht="69" x14ac:dyDescent="0.35">
      <c r="B41" s="14" t="s">
        <v>91</v>
      </c>
      <c r="C41" s="15" t="s">
        <v>92</v>
      </c>
      <c r="D41" s="15" t="s">
        <v>83</v>
      </c>
      <c r="E41" s="15" t="s">
        <v>93</v>
      </c>
      <c r="F41" s="16" t="s">
        <v>54</v>
      </c>
      <c r="G41" s="176">
        <v>6602</v>
      </c>
      <c r="H41" s="176"/>
      <c r="I41" s="16" t="s">
        <v>64</v>
      </c>
      <c r="J41" s="158"/>
      <c r="K41" s="158"/>
      <c r="L41" s="17"/>
      <c r="M41" s="18"/>
    </row>
    <row r="42" spans="2:13" ht="69" x14ac:dyDescent="0.35">
      <c r="B42" s="14" t="s">
        <v>91</v>
      </c>
      <c r="C42" s="15" t="s">
        <v>92</v>
      </c>
      <c r="D42" s="15" t="s">
        <v>83</v>
      </c>
      <c r="E42" s="15" t="s">
        <v>94</v>
      </c>
      <c r="F42" s="16" t="s">
        <v>54</v>
      </c>
      <c r="G42" s="177">
        <v>802</v>
      </c>
      <c r="H42" s="177"/>
      <c r="I42" s="16" t="s">
        <v>87</v>
      </c>
      <c r="J42" s="158"/>
      <c r="K42" s="158"/>
      <c r="L42" s="17"/>
      <c r="M42" s="18"/>
    </row>
    <row r="43" spans="2:13" ht="69" x14ac:dyDescent="0.35">
      <c r="B43" s="14" t="s">
        <v>91</v>
      </c>
      <c r="C43" s="15" t="s">
        <v>92</v>
      </c>
      <c r="D43" s="15" t="s">
        <v>83</v>
      </c>
      <c r="E43" s="15" t="s">
        <v>95</v>
      </c>
      <c r="F43" s="16" t="s">
        <v>54</v>
      </c>
      <c r="G43" s="176">
        <v>1784</v>
      </c>
      <c r="H43" s="176"/>
      <c r="I43" s="16" t="s">
        <v>87</v>
      </c>
      <c r="J43" s="158"/>
      <c r="K43" s="158"/>
      <c r="L43" s="17"/>
      <c r="M43" s="18"/>
    </row>
    <row r="44" spans="2:13" ht="69" x14ac:dyDescent="0.35">
      <c r="B44" s="14" t="s">
        <v>91</v>
      </c>
      <c r="C44" s="15" t="s">
        <v>92</v>
      </c>
      <c r="D44" s="15" t="s">
        <v>83</v>
      </c>
      <c r="E44" s="15" t="s">
        <v>96</v>
      </c>
      <c r="F44" s="16" t="s">
        <v>54</v>
      </c>
      <c r="G44" s="177">
        <v>772</v>
      </c>
      <c r="H44" s="177"/>
      <c r="I44" s="16" t="s">
        <v>87</v>
      </c>
      <c r="J44" s="158"/>
      <c r="K44" s="158"/>
      <c r="L44" s="17"/>
      <c r="M44" s="18"/>
    </row>
    <row r="45" spans="2:13" ht="69" x14ac:dyDescent="0.35">
      <c r="B45" s="14" t="s">
        <v>91</v>
      </c>
      <c r="C45" s="15" t="s">
        <v>92</v>
      </c>
      <c r="D45" s="15" t="s">
        <v>83</v>
      </c>
      <c r="E45" s="15" t="s">
        <v>97</v>
      </c>
      <c r="F45" s="16" t="s">
        <v>54</v>
      </c>
      <c r="G45" s="176">
        <v>1485</v>
      </c>
      <c r="H45" s="176"/>
      <c r="I45" s="16" t="s">
        <v>87</v>
      </c>
      <c r="J45" s="158"/>
      <c r="K45" s="158"/>
      <c r="L45" s="17"/>
      <c r="M45" s="18"/>
    </row>
    <row r="46" spans="2:13" x14ac:dyDescent="0.35">
      <c r="B46" s="155" t="s">
        <v>78</v>
      </c>
      <c r="C46" s="155"/>
      <c r="D46" s="155"/>
      <c r="E46" s="155"/>
      <c r="F46" s="156">
        <v>15414.07</v>
      </c>
      <c r="G46" s="156"/>
      <c r="H46" s="156"/>
      <c r="I46" s="157">
        <v>0</v>
      </c>
      <c r="J46" s="157"/>
      <c r="K46" s="157"/>
      <c r="L46" s="19"/>
      <c r="M46" s="20">
        <v>0</v>
      </c>
    </row>
    <row r="47" spans="2:13" x14ac:dyDescent="0.35"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</row>
    <row r="48" spans="2:13" x14ac:dyDescent="0.35">
      <c r="B48" s="7"/>
      <c r="C48" s="7"/>
      <c r="D48" s="7"/>
      <c r="E48" s="7"/>
      <c r="F48" s="7"/>
      <c r="G48" s="7"/>
      <c r="H48" s="7">
        <v>11445</v>
      </c>
      <c r="I48" s="7"/>
      <c r="J48" s="7"/>
      <c r="K48" s="7"/>
      <c r="L48" s="7"/>
      <c r="M48" s="7"/>
    </row>
    <row r="49" spans="2:13" x14ac:dyDescent="0.35">
      <c r="B49" s="7"/>
      <c r="C49" s="7"/>
      <c r="D49" s="7"/>
      <c r="E49" s="7"/>
      <c r="F49" s="7"/>
      <c r="G49" s="7"/>
      <c r="H49" s="25">
        <f>F46-H48</f>
        <v>3969.0699999999997</v>
      </c>
      <c r="I49" s="7"/>
      <c r="J49" s="7"/>
      <c r="K49" s="7"/>
      <c r="L49" s="7"/>
      <c r="M49" s="7"/>
    </row>
    <row r="50" spans="2:13" x14ac:dyDescent="0.35"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</row>
    <row r="51" spans="2:13" x14ac:dyDescent="0.35"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</row>
    <row r="52" spans="2:13" x14ac:dyDescent="0.35"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</row>
    <row r="53" spans="2:13" x14ac:dyDescent="0.35"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</row>
    <row r="54" spans="2:13" x14ac:dyDescent="0.35"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</row>
    <row r="55" spans="2:13" x14ac:dyDescent="0.35"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</row>
    <row r="56" spans="2:13" x14ac:dyDescent="0.35"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</row>
    <row r="57" spans="2:13" x14ac:dyDescent="0.35"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</row>
    <row r="58" spans="2:13" x14ac:dyDescent="0.35"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</row>
    <row r="59" spans="2:13" x14ac:dyDescent="0.35"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</row>
    <row r="60" spans="2:13" x14ac:dyDescent="0.35"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</row>
    <row r="61" spans="2:13" x14ac:dyDescent="0.35"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</row>
    <row r="62" spans="2:13" x14ac:dyDescent="0.35"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</row>
    <row r="63" spans="2:13" x14ac:dyDescent="0.35"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</row>
    <row r="64" spans="2:13" x14ac:dyDescent="0.35"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</row>
    <row r="65" spans="2:13" x14ac:dyDescent="0.35"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</row>
    <row r="66" spans="2:13" x14ac:dyDescent="0.35"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</row>
    <row r="67" spans="2:13" x14ac:dyDescent="0.35"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</row>
    <row r="68" spans="2:13" x14ac:dyDescent="0.35"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</row>
    <row r="69" spans="2:13" x14ac:dyDescent="0.35"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</row>
    <row r="70" spans="2:13" x14ac:dyDescent="0.35"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</row>
    <row r="71" spans="2:13" x14ac:dyDescent="0.35"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</row>
    <row r="72" spans="2:13" x14ac:dyDescent="0.35"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</row>
    <row r="73" spans="2:13" x14ac:dyDescent="0.35"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</row>
    <row r="74" spans="2:13" x14ac:dyDescent="0.35"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</row>
    <row r="75" spans="2:13" x14ac:dyDescent="0.35"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</row>
    <row r="76" spans="2:13" x14ac:dyDescent="0.35"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</row>
    <row r="77" spans="2:13" x14ac:dyDescent="0.35"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</row>
    <row r="78" spans="2:13" x14ac:dyDescent="0.35"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</row>
    <row r="79" spans="2:13" x14ac:dyDescent="0.35"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</row>
    <row r="80" spans="2:13" x14ac:dyDescent="0.35"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</row>
    <row r="81" spans="2:13" x14ac:dyDescent="0.35"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</row>
  </sheetData>
  <autoFilter ref="B12:L25" xr:uid="{00000000-0009-0000-0000-000003000000}"/>
  <mergeCells count="55">
    <mergeCell ref="G45:H45"/>
    <mergeCell ref="J45:K45"/>
    <mergeCell ref="B46:E46"/>
    <mergeCell ref="F46:H46"/>
    <mergeCell ref="I46:K46"/>
    <mergeCell ref="G42:H42"/>
    <mergeCell ref="J42:K42"/>
    <mergeCell ref="G43:H43"/>
    <mergeCell ref="J43:K43"/>
    <mergeCell ref="G44:H44"/>
    <mergeCell ref="J44:K44"/>
    <mergeCell ref="G39:H39"/>
    <mergeCell ref="J39:K39"/>
    <mergeCell ref="G40:H40"/>
    <mergeCell ref="J40:K40"/>
    <mergeCell ref="G41:H41"/>
    <mergeCell ref="J41:K41"/>
    <mergeCell ref="L35:M36"/>
    <mergeCell ref="G36:H36"/>
    <mergeCell ref="J36:K36"/>
    <mergeCell ref="B37:E37"/>
    <mergeCell ref="F37:K37"/>
    <mergeCell ref="G38:H38"/>
    <mergeCell ref="J38:K38"/>
    <mergeCell ref="B35:B36"/>
    <mergeCell ref="C35:C36"/>
    <mergeCell ref="D35:D36"/>
    <mergeCell ref="E35:E36"/>
    <mergeCell ref="F35:H35"/>
    <mergeCell ref="I35:K35"/>
    <mergeCell ref="B4:J4"/>
    <mergeCell ref="B3:J3"/>
    <mergeCell ref="C8:E8"/>
    <mergeCell ref="I21:J21"/>
    <mergeCell ref="I22:J22"/>
    <mergeCell ref="I17:J17"/>
    <mergeCell ref="I18:J18"/>
    <mergeCell ref="I19:J19"/>
    <mergeCell ref="I11:J11"/>
    <mergeCell ref="I13:J13"/>
    <mergeCell ref="I14:J14"/>
    <mergeCell ref="B10:B11"/>
    <mergeCell ref="I20:J20"/>
    <mergeCell ref="I15:J15"/>
    <mergeCell ref="I16:J16"/>
    <mergeCell ref="H10:J10"/>
    <mergeCell ref="B24:E24"/>
    <mergeCell ref="F24:G24"/>
    <mergeCell ref="H24:J24"/>
    <mergeCell ref="I23:J23"/>
    <mergeCell ref="K10:L11"/>
    <mergeCell ref="C10:C11"/>
    <mergeCell ref="D10:D11"/>
    <mergeCell ref="E10:E11"/>
    <mergeCell ref="F10:G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46"/>
  <sheetViews>
    <sheetView workbookViewId="0">
      <selection activeCell="L28" sqref="L28"/>
    </sheetView>
  </sheetViews>
  <sheetFormatPr defaultRowHeight="14.5" x14ac:dyDescent="0.35"/>
  <cols>
    <col min="1" max="1" width="72.453125" customWidth="1"/>
    <col min="2" max="2" width="20" customWidth="1"/>
    <col min="3" max="3" width="23.54296875" style="75" customWidth="1"/>
    <col min="4" max="4" width="15.81640625" style="75" customWidth="1"/>
    <col min="5" max="5" width="18.1796875" style="75" customWidth="1"/>
    <col min="6" max="6" width="19.1796875" style="75" customWidth="1"/>
    <col min="7" max="7" width="19" style="75" customWidth="1"/>
    <col min="8" max="8" width="16.7265625" style="75" customWidth="1"/>
    <col min="9" max="9" width="17.81640625" style="75" customWidth="1"/>
    <col min="10" max="10" width="18.453125" style="75" customWidth="1"/>
    <col min="11" max="11" width="16.81640625" style="75" customWidth="1"/>
    <col min="12" max="13" width="18.453125" style="75" customWidth="1"/>
    <col min="14" max="14" width="23" style="75" customWidth="1"/>
    <col min="15" max="15" width="17.81640625" customWidth="1"/>
  </cols>
  <sheetData>
    <row r="1" spans="1:15" ht="70.5" customHeight="1" x14ac:dyDescent="0.45">
      <c r="A1" s="52" t="s">
        <v>115</v>
      </c>
      <c r="B1" s="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</row>
    <row r="2" spans="1:15" x14ac:dyDescent="0.35">
      <c r="A2" s="2" t="s">
        <v>2</v>
      </c>
      <c r="B2" s="2" t="s">
        <v>113</v>
      </c>
      <c r="C2" s="74" t="s">
        <v>4</v>
      </c>
      <c r="D2" s="74" t="s">
        <v>5</v>
      </c>
      <c r="E2" s="74" t="s">
        <v>6</v>
      </c>
      <c r="F2" s="74" t="s">
        <v>7</v>
      </c>
      <c r="G2" s="74" t="s">
        <v>8</v>
      </c>
      <c r="H2" s="74" t="s">
        <v>9</v>
      </c>
      <c r="I2" s="74" t="s">
        <v>10</v>
      </c>
      <c r="J2" s="74" t="s">
        <v>11</v>
      </c>
      <c r="K2" s="74" t="s">
        <v>12</v>
      </c>
      <c r="L2" s="74" t="s">
        <v>13</v>
      </c>
      <c r="M2" s="74" t="s">
        <v>14</v>
      </c>
      <c r="N2" s="74" t="s">
        <v>15</v>
      </c>
      <c r="O2" s="2" t="s">
        <v>1</v>
      </c>
    </row>
    <row r="3" spans="1:15" x14ac:dyDescent="0.35">
      <c r="A3" s="4" t="s">
        <v>111</v>
      </c>
      <c r="B3" s="4"/>
      <c r="C3" s="77">
        <v>2900314.58</v>
      </c>
      <c r="D3" s="77">
        <f>3170151.52+29706.45</f>
        <v>3199857.97</v>
      </c>
      <c r="E3" s="77">
        <f>3200571.29+29706.45</f>
        <v>3230277.74</v>
      </c>
      <c r="F3" s="77">
        <f>3218833.27+34800.86</f>
        <v>3253634.13</v>
      </c>
      <c r="G3" s="77">
        <f>3294940.87+43244.33</f>
        <v>3338185.2</v>
      </c>
      <c r="H3" s="77">
        <v>3400259.13</v>
      </c>
      <c r="I3" s="77">
        <v>3465813.65</v>
      </c>
      <c r="J3" s="77">
        <v>3512214.8</v>
      </c>
      <c r="K3" s="77">
        <v>3646853</v>
      </c>
      <c r="L3" s="77">
        <v>3760741.21</v>
      </c>
      <c r="M3" s="77">
        <v>3908039.05</v>
      </c>
      <c r="N3" s="77">
        <v>3913133.46</v>
      </c>
      <c r="O3" s="28">
        <f>C3+D3+E3+F3+G3+H3+I3+J3+K3+L3+M3+N3</f>
        <v>41529323.919999994</v>
      </c>
    </row>
    <row r="4" spans="1:15" x14ac:dyDescent="0.35">
      <c r="A4" s="4" t="s">
        <v>118</v>
      </c>
      <c r="B4" s="4"/>
      <c r="C4" s="77"/>
      <c r="D4" s="77"/>
      <c r="E4" s="77"/>
      <c r="F4" s="77"/>
      <c r="G4" s="77"/>
      <c r="H4" s="77"/>
      <c r="I4" s="77"/>
      <c r="J4" s="77"/>
      <c r="K4" s="77"/>
      <c r="L4" s="77">
        <v>491960</v>
      </c>
      <c r="M4" s="77"/>
      <c r="N4" s="77"/>
      <c r="O4" s="28"/>
    </row>
    <row r="5" spans="1:15" ht="15.5" x14ac:dyDescent="0.35">
      <c r="A5" s="32" t="s">
        <v>16</v>
      </c>
      <c r="B5" s="4"/>
      <c r="C5" s="78">
        <f>C3</f>
        <v>2900314.58</v>
      </c>
      <c r="D5" s="78">
        <f t="shared" ref="D5:O5" si="0">D3</f>
        <v>3199857.97</v>
      </c>
      <c r="E5" s="78">
        <f t="shared" si="0"/>
        <v>3230277.74</v>
      </c>
      <c r="F5" s="78">
        <f t="shared" si="0"/>
        <v>3253634.13</v>
      </c>
      <c r="G5" s="78">
        <f t="shared" si="0"/>
        <v>3338185.2</v>
      </c>
      <c r="H5" s="78">
        <f t="shared" si="0"/>
        <v>3400259.13</v>
      </c>
      <c r="I5" s="78">
        <f t="shared" si="0"/>
        <v>3465813.65</v>
      </c>
      <c r="J5" s="78">
        <f t="shared" si="0"/>
        <v>3512214.8</v>
      </c>
      <c r="K5" s="78">
        <f t="shared" si="0"/>
        <v>3646853</v>
      </c>
      <c r="L5" s="78">
        <f>L3+L4</f>
        <v>4252701.21</v>
      </c>
      <c r="M5" s="78">
        <f t="shared" si="0"/>
        <v>3908039.05</v>
      </c>
      <c r="N5" s="78">
        <f t="shared" si="0"/>
        <v>3913133.46</v>
      </c>
      <c r="O5" s="35">
        <f t="shared" si="0"/>
        <v>41529323.919999994</v>
      </c>
    </row>
    <row r="6" spans="1:15" x14ac:dyDescent="0.35">
      <c r="A6" s="4"/>
      <c r="B6" s="4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4"/>
    </row>
    <row r="7" spans="1:15" ht="37.5" thickBot="1" x14ac:dyDescent="0.5">
      <c r="A7" s="36" t="s">
        <v>110</v>
      </c>
      <c r="B7" s="5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4"/>
    </row>
    <row r="8" spans="1:15" ht="39.5" thickBot="1" x14ac:dyDescent="0.4">
      <c r="A8" s="37" t="s">
        <v>19</v>
      </c>
      <c r="B8" s="65">
        <f>B9+B10</f>
        <v>382879.31</v>
      </c>
      <c r="C8" s="79">
        <f>C9+C10</f>
        <v>455492.37</v>
      </c>
      <c r="D8" s="79">
        <f t="shared" ref="D8:O8" si="1">D9+D10</f>
        <v>455492.37</v>
      </c>
      <c r="E8" s="79">
        <f t="shared" si="1"/>
        <v>455492.37</v>
      </c>
      <c r="F8" s="79">
        <f t="shared" si="1"/>
        <v>465122.37</v>
      </c>
      <c r="G8" s="79">
        <f t="shared" si="1"/>
        <v>455492.37</v>
      </c>
      <c r="H8" s="79">
        <f t="shared" si="1"/>
        <v>455492.37</v>
      </c>
      <c r="I8" s="79">
        <f t="shared" si="1"/>
        <v>455492.37</v>
      </c>
      <c r="J8" s="79">
        <f t="shared" si="1"/>
        <v>455492.37</v>
      </c>
      <c r="K8" s="79">
        <f t="shared" si="1"/>
        <v>455492.37</v>
      </c>
      <c r="L8" s="79">
        <f t="shared" si="1"/>
        <v>455492.37</v>
      </c>
      <c r="M8" s="79">
        <f t="shared" si="1"/>
        <v>455492.37</v>
      </c>
      <c r="N8" s="79">
        <f t="shared" si="1"/>
        <v>472492.37</v>
      </c>
      <c r="O8" s="28">
        <f t="shared" si="1"/>
        <v>5492538.4400000004</v>
      </c>
    </row>
    <row r="9" spans="1:15" ht="18.75" customHeight="1" x14ac:dyDescent="0.35">
      <c r="A9" s="38" t="s">
        <v>20</v>
      </c>
      <c r="B9" s="54">
        <v>377879.31</v>
      </c>
      <c r="C9" s="68">
        <v>455492.37</v>
      </c>
      <c r="D9" s="68">
        <v>455492.37</v>
      </c>
      <c r="E9" s="68">
        <v>455492.37</v>
      </c>
      <c r="F9" s="68">
        <v>455492.37</v>
      </c>
      <c r="G9" s="68">
        <v>455492.37</v>
      </c>
      <c r="H9" s="68">
        <v>455492.37</v>
      </c>
      <c r="I9" s="68">
        <v>455492.37</v>
      </c>
      <c r="J9" s="68">
        <v>455492.37</v>
      </c>
      <c r="K9" s="68">
        <v>455492.37</v>
      </c>
      <c r="L9" s="68">
        <v>455492.37</v>
      </c>
      <c r="M9" s="68">
        <v>455492.37</v>
      </c>
      <c r="N9" s="68">
        <v>455492.37</v>
      </c>
      <c r="O9" s="28">
        <f>C9+D9+E9+F9+G9+H9+I9+J9+K9+L9+M9+N9</f>
        <v>5465908.4400000004</v>
      </c>
    </row>
    <row r="10" spans="1:15" ht="18" customHeight="1" thickBot="1" x14ac:dyDescent="0.4">
      <c r="A10" s="38" t="s">
        <v>21</v>
      </c>
      <c r="B10" s="58">
        <v>5000</v>
      </c>
      <c r="C10" s="70"/>
      <c r="D10" s="3"/>
      <c r="E10" s="3"/>
      <c r="F10" s="69">
        <v>9630</v>
      </c>
      <c r="G10" s="3"/>
      <c r="H10" s="3"/>
      <c r="I10" s="3"/>
      <c r="J10" s="3"/>
      <c r="K10" s="69"/>
      <c r="L10" s="3"/>
      <c r="M10" s="3"/>
      <c r="N10" s="69">
        <v>17000</v>
      </c>
      <c r="O10" s="39">
        <f t="shared" ref="O10:O17" si="2">C10+D10+E10+F10+G10+H10+I10+J10+K10+L10+M10+N10</f>
        <v>26630</v>
      </c>
    </row>
    <row r="11" spans="1:15" ht="48" customHeight="1" thickBot="1" x14ac:dyDescent="0.4">
      <c r="A11" s="37" t="s">
        <v>22</v>
      </c>
      <c r="B11" s="65">
        <f>B12+B13+B14</f>
        <v>614113.79310344835</v>
      </c>
      <c r="C11" s="71">
        <f>C12+C14+C13</f>
        <v>869329.79</v>
      </c>
      <c r="D11" s="71">
        <f t="shared" ref="D11:K11" si="3">D12+D14+D13</f>
        <v>942244.79</v>
      </c>
      <c r="E11" s="71">
        <f t="shared" si="3"/>
        <v>942244.79</v>
      </c>
      <c r="F11" s="71">
        <f t="shared" si="3"/>
        <v>1283845.77</v>
      </c>
      <c r="G11" s="71">
        <f t="shared" si="3"/>
        <v>1242244.79</v>
      </c>
      <c r="H11" s="71">
        <f t="shared" si="3"/>
        <v>1242244.79</v>
      </c>
      <c r="I11" s="71">
        <f t="shared" si="3"/>
        <v>1242244.79</v>
      </c>
      <c r="J11" s="71">
        <f t="shared" si="3"/>
        <v>1242244.79</v>
      </c>
      <c r="K11" s="71">
        <f t="shared" si="3"/>
        <v>1237524.79</v>
      </c>
      <c r="L11" s="71">
        <f t="shared" ref="L11" si="4">L12+L14+L13</f>
        <v>1337024.04</v>
      </c>
      <c r="M11" s="71">
        <f t="shared" ref="M11" si="5">M12+M14+M13</f>
        <v>1193744.79</v>
      </c>
      <c r="N11" s="71">
        <f t="shared" ref="N11" si="6">N12+N14+N13</f>
        <v>1193744.79</v>
      </c>
      <c r="O11" s="40">
        <f>O12+O14+O13</f>
        <v>13968682.709999995</v>
      </c>
    </row>
    <row r="12" spans="1:15" ht="18.75" customHeight="1" x14ac:dyDescent="0.35">
      <c r="A12" s="64" t="s">
        <v>107</v>
      </c>
      <c r="B12" s="54">
        <v>601613.79310344835</v>
      </c>
      <c r="C12" s="72">
        <f>448500+413744.79</f>
        <v>862244.79</v>
      </c>
      <c r="D12" s="72">
        <f>528500+413744.79</f>
        <v>942244.79</v>
      </c>
      <c r="E12" s="72">
        <f>528500+413744.79</f>
        <v>942244.79</v>
      </c>
      <c r="F12" s="73">
        <f>828500+413744.79-85920.8</f>
        <v>1156323.99</v>
      </c>
      <c r="G12" s="73">
        <f>828500+413744.79</f>
        <v>1242244.79</v>
      </c>
      <c r="H12" s="73">
        <f>828500+413744.79</f>
        <v>1242244.79</v>
      </c>
      <c r="I12" s="73">
        <f>828500+413744.79</f>
        <v>1242244.79</v>
      </c>
      <c r="J12" s="73">
        <f>828500+413744.79</f>
        <v>1242244.79</v>
      </c>
      <c r="K12" s="73">
        <f>780000+413744.79</f>
        <v>1193744.79</v>
      </c>
      <c r="L12" s="73">
        <f>780000+413744.79+100000</f>
        <v>1293744.79</v>
      </c>
      <c r="M12" s="73">
        <f>780000+413744.79</f>
        <v>1193744.79</v>
      </c>
      <c r="N12" s="73">
        <v>1193744.79</v>
      </c>
      <c r="O12" s="51">
        <f>C12+D12+E12+F12+G12+H12+I12+J12+K12+L12+M12+N12</f>
        <v>13747016.679999996</v>
      </c>
    </row>
    <row r="13" spans="1:15" ht="18.75" hidden="1" customHeight="1" x14ac:dyDescent="0.35">
      <c r="A13" s="64"/>
      <c r="B13" s="66"/>
      <c r="C13" s="72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51"/>
    </row>
    <row r="14" spans="1:15" ht="18" customHeight="1" thickBot="1" x14ac:dyDescent="0.4">
      <c r="A14" s="64" t="s">
        <v>23</v>
      </c>
      <c r="B14" s="67">
        <v>12500</v>
      </c>
      <c r="C14" s="68">
        <v>7085</v>
      </c>
      <c r="D14" s="69"/>
      <c r="E14" s="69"/>
      <c r="F14" s="69">
        <f>41600.98+
85920.8</f>
        <v>127521.78</v>
      </c>
      <c r="G14" s="69"/>
      <c r="H14" s="69"/>
      <c r="I14" s="69"/>
      <c r="J14" s="69"/>
      <c r="K14" s="69">
        <v>43780</v>
      </c>
      <c r="L14" s="69">
        <v>43279.25</v>
      </c>
      <c r="M14" s="69"/>
      <c r="N14" s="69"/>
      <c r="O14" s="51">
        <f t="shared" si="2"/>
        <v>221666.03</v>
      </c>
    </row>
    <row r="15" spans="1:15" ht="18" customHeight="1" thickBot="1" x14ac:dyDescent="0.4">
      <c r="A15" s="37" t="s">
        <v>108</v>
      </c>
      <c r="B15" s="55">
        <f>B16+B17+B18+B19</f>
        <v>106700</v>
      </c>
      <c r="C15" s="71">
        <f>C16+C17+C18+C19</f>
        <v>174492</v>
      </c>
      <c r="D15" s="71">
        <f t="shared" ref="D15:O15" si="7">D16+D17+D18+D19</f>
        <v>209717</v>
      </c>
      <c r="E15" s="71">
        <f t="shared" si="7"/>
        <v>169336.27</v>
      </c>
      <c r="F15" s="71">
        <f>F16+F17+F18+F19</f>
        <v>189342.4</v>
      </c>
      <c r="G15" s="71">
        <f>G16+G17+G18+G19</f>
        <v>214312.4</v>
      </c>
      <c r="H15" s="71">
        <f t="shared" si="7"/>
        <v>243109.66999999998</v>
      </c>
      <c r="I15" s="71">
        <f t="shared" si="7"/>
        <v>295789.13</v>
      </c>
      <c r="J15" s="71">
        <f t="shared" si="7"/>
        <v>222923.34</v>
      </c>
      <c r="K15" s="71">
        <f t="shared" si="7"/>
        <v>255434.66999999998</v>
      </c>
      <c r="L15" s="71">
        <f t="shared" si="7"/>
        <v>294068.36</v>
      </c>
      <c r="M15" s="71">
        <f t="shared" si="7"/>
        <v>252789.7</v>
      </c>
      <c r="N15" s="71">
        <f t="shared" si="7"/>
        <v>262228.08999999997</v>
      </c>
      <c r="O15" s="40">
        <f t="shared" si="7"/>
        <v>2783543.03</v>
      </c>
    </row>
    <row r="16" spans="1:15" ht="18.75" customHeight="1" x14ac:dyDescent="0.35">
      <c r="A16" s="41" t="s">
        <v>104</v>
      </c>
      <c r="B16" s="54">
        <v>61200</v>
      </c>
      <c r="C16" s="88">
        <v>140400</v>
      </c>
      <c r="D16" s="88">
        <v>148930</v>
      </c>
      <c r="E16" s="88">
        <v>140400</v>
      </c>
      <c r="F16" s="88">
        <f>140400+8280</f>
        <v>148680</v>
      </c>
      <c r="G16" s="88">
        <v>140400</v>
      </c>
      <c r="H16" s="88">
        <f>140400+20119.67</f>
        <v>160519.66999999998</v>
      </c>
      <c r="I16" s="88">
        <v>140400</v>
      </c>
      <c r="J16" s="88">
        <v>140400</v>
      </c>
      <c r="K16" s="88">
        <v>140400</v>
      </c>
      <c r="L16" s="88">
        <v>140400</v>
      </c>
      <c r="M16" s="88">
        <v>140400</v>
      </c>
      <c r="N16" s="88">
        <f>140400+12480</f>
        <v>152880</v>
      </c>
      <c r="O16" s="39">
        <f t="shared" si="2"/>
        <v>1734209.67</v>
      </c>
    </row>
    <row r="17" spans="1:15" ht="18" customHeight="1" x14ac:dyDescent="0.35">
      <c r="A17" s="41" t="s">
        <v>24</v>
      </c>
      <c r="B17" s="56">
        <v>8000</v>
      </c>
      <c r="C17" s="69"/>
      <c r="D17" s="69">
        <v>35803</v>
      </c>
      <c r="E17" s="69"/>
      <c r="F17" s="69"/>
      <c r="G17" s="69"/>
      <c r="H17" s="69"/>
      <c r="I17" s="69"/>
      <c r="J17" s="69">
        <v>23830</v>
      </c>
      <c r="K17" s="69">
        <v>18884</v>
      </c>
      <c r="L17" s="69"/>
      <c r="M17" s="69">
        <v>48360</v>
      </c>
      <c r="N17" s="69">
        <f>3490+25000</f>
        <v>28490</v>
      </c>
      <c r="O17" s="39">
        <f t="shared" si="2"/>
        <v>155367</v>
      </c>
    </row>
    <row r="18" spans="1:15" x14ac:dyDescent="0.35">
      <c r="A18" s="41" t="s">
        <v>25</v>
      </c>
      <c r="B18" s="57">
        <v>17500</v>
      </c>
      <c r="C18" s="69">
        <v>19092</v>
      </c>
      <c r="D18" s="69">
        <f>7739+2245</f>
        <v>9984</v>
      </c>
      <c r="E18" s="69">
        <v>13936.27</v>
      </c>
      <c r="F18" s="69">
        <f>19182.4</f>
        <v>19182.400000000001</v>
      </c>
      <c r="G18" s="69">
        <v>43912.4</v>
      </c>
      <c r="H18" s="69">
        <v>52590</v>
      </c>
      <c r="I18" s="69">
        <f>116989.13+8400</f>
        <v>125389.13</v>
      </c>
      <c r="J18" s="69">
        <v>28693.34</v>
      </c>
      <c r="K18" s="69">
        <f>57600.67+8550</f>
        <v>66150.67</v>
      </c>
      <c r="L18" s="69">
        <f>85753.36+37915</f>
        <v>123668.36</v>
      </c>
      <c r="M18" s="69">
        <v>34029.699999999997</v>
      </c>
      <c r="N18" s="69">
        <f>23580+12980+14298.09</f>
        <v>50858.09</v>
      </c>
      <c r="O18" s="39">
        <f>C18+D18+E18+F18+G18+H18+I18+J18+K18+L18+M18+N18</f>
        <v>587486.36</v>
      </c>
    </row>
    <row r="19" spans="1:15" ht="15" thickBot="1" x14ac:dyDescent="0.4">
      <c r="A19" s="42" t="s">
        <v>26</v>
      </c>
      <c r="B19" s="58">
        <v>20000</v>
      </c>
      <c r="C19" s="69">
        <v>15000</v>
      </c>
      <c r="D19" s="69">
        <v>15000</v>
      </c>
      <c r="E19" s="69">
        <v>15000</v>
      </c>
      <c r="F19" s="69">
        <f>15000+6480</f>
        <v>21480</v>
      </c>
      <c r="G19" s="69">
        <v>30000</v>
      </c>
      <c r="H19" s="69">
        <v>30000</v>
      </c>
      <c r="I19" s="69">
        <v>30000</v>
      </c>
      <c r="J19" s="69">
        <v>30000</v>
      </c>
      <c r="K19" s="69">
        <v>30000</v>
      </c>
      <c r="L19" s="69">
        <v>30000</v>
      </c>
      <c r="M19" s="69">
        <v>30000</v>
      </c>
      <c r="N19" s="69">
        <v>30000</v>
      </c>
      <c r="O19" s="39">
        <f t="shared" ref="O19:O32" si="8">C19+D19+E19+F19+G19+H19+I19+J19+K19+L19+M19+N19</f>
        <v>306480</v>
      </c>
    </row>
    <row r="20" spans="1:15" ht="15" thickBot="1" x14ac:dyDescent="0.4">
      <c r="A20" s="43" t="s">
        <v>109</v>
      </c>
      <c r="B20" s="59">
        <f>B21+B22+B23+B24+B25+B26+B27</f>
        <v>212000</v>
      </c>
      <c r="C20" s="71">
        <f>C21+C22+C23+C24+C25+C26+C27</f>
        <v>655380.47999999998</v>
      </c>
      <c r="D20" s="71">
        <f t="shared" ref="D20:N20" si="9">D21+D22+D23+D24+D25+D26+D27</f>
        <v>763508.71000000008</v>
      </c>
      <c r="E20" s="71">
        <f t="shared" si="9"/>
        <v>499286.43</v>
      </c>
      <c r="F20" s="71">
        <f t="shared" si="9"/>
        <v>437309.63</v>
      </c>
      <c r="G20" s="71">
        <f t="shared" si="9"/>
        <v>647070.71999999997</v>
      </c>
      <c r="H20" s="71">
        <f t="shared" si="9"/>
        <v>669098.34</v>
      </c>
      <c r="I20" s="71">
        <f t="shared" si="9"/>
        <v>339497.68</v>
      </c>
      <c r="J20" s="71">
        <f t="shared" si="9"/>
        <v>442323.47</v>
      </c>
      <c r="K20" s="71">
        <f t="shared" si="9"/>
        <v>477658.89</v>
      </c>
      <c r="L20" s="71">
        <f t="shared" si="9"/>
        <v>411857.49</v>
      </c>
      <c r="M20" s="71">
        <f t="shared" si="9"/>
        <v>549830.21</v>
      </c>
      <c r="N20" s="71">
        <f t="shared" si="9"/>
        <v>892944.59</v>
      </c>
      <c r="O20" s="28">
        <f t="shared" si="8"/>
        <v>6785766.6399999997</v>
      </c>
    </row>
    <row r="21" spans="1:15" ht="18.75" customHeight="1" x14ac:dyDescent="0.35">
      <c r="A21" s="41" t="s">
        <v>27</v>
      </c>
      <c r="B21" s="54">
        <v>56000</v>
      </c>
      <c r="C21" s="68">
        <f>173194.72+2000</f>
        <v>175194.72</v>
      </c>
      <c r="D21" s="69">
        <f>154839.75+2000</f>
        <v>156839.75</v>
      </c>
      <c r="E21" s="69">
        <f>160017.23+2000</f>
        <v>162017.23000000001</v>
      </c>
      <c r="F21" s="69">
        <f>184017.23+2000</f>
        <v>186017.23</v>
      </c>
      <c r="G21" s="69">
        <f>173194.72+2000</f>
        <v>175194.72</v>
      </c>
      <c r="H21" s="69">
        <f>206399.89+2000</f>
        <v>208399.89</v>
      </c>
      <c r="I21" s="69">
        <f>199608.09+2000</f>
        <v>201608.09</v>
      </c>
      <c r="J21" s="69">
        <f>209772.09+2000</f>
        <v>211772.09</v>
      </c>
      <c r="K21" s="69">
        <v>252210.76</v>
      </c>
      <c r="L21" s="69">
        <v>180608.09</v>
      </c>
      <c r="M21" s="69">
        <v>185952.07</v>
      </c>
      <c r="N21" s="69">
        <v>211944.08</v>
      </c>
      <c r="O21" s="39">
        <f>C21+D21+E21+F21+G21+H21+I21+J21+K21+L21+M21+N21</f>
        <v>2307758.7200000002</v>
      </c>
    </row>
    <row r="22" spans="1:15" x14ac:dyDescent="0.35">
      <c r="A22" s="41" t="s">
        <v>28</v>
      </c>
      <c r="B22" s="57">
        <v>20000</v>
      </c>
      <c r="C22" s="68">
        <v>238000</v>
      </c>
      <c r="D22" s="80">
        <v>322000</v>
      </c>
      <c r="E22" s="69">
        <v>42000</v>
      </c>
      <c r="F22" s="69"/>
      <c r="G22" s="69"/>
      <c r="H22" s="69"/>
      <c r="I22" s="69"/>
      <c r="J22" s="69"/>
      <c r="K22" s="69"/>
      <c r="L22" s="69"/>
      <c r="M22" s="69"/>
      <c r="N22" s="69">
        <f>169600+174900</f>
        <v>344500</v>
      </c>
      <c r="O22" s="39">
        <f t="shared" si="8"/>
        <v>946500</v>
      </c>
    </row>
    <row r="23" spans="1:15" x14ac:dyDescent="0.35">
      <c r="A23" s="41" t="s">
        <v>29</v>
      </c>
      <c r="B23" s="57">
        <v>68000</v>
      </c>
      <c r="C23" s="68">
        <f>18000+7700</f>
        <v>25700</v>
      </c>
      <c r="D23" s="68">
        <f>93000+39484.28</f>
        <v>132484.28</v>
      </c>
      <c r="E23" s="69">
        <f>23000+22500</f>
        <v>45500</v>
      </c>
      <c r="F23" s="69">
        <f>22500+80000</f>
        <v>102500</v>
      </c>
      <c r="G23" s="69">
        <f>22500+20320+80000</f>
        <v>122820</v>
      </c>
      <c r="H23" s="69">
        <f>18000+300000</f>
        <v>318000</v>
      </c>
      <c r="I23" s="69">
        <f>5562.59+18000+100000</f>
        <v>123562.59</v>
      </c>
      <c r="J23" s="69">
        <f>18000+100000</f>
        <v>118000</v>
      </c>
      <c r="K23" s="69">
        <f>18000+100000</f>
        <v>118000</v>
      </c>
      <c r="L23" s="69">
        <f>18000+100000</f>
        <v>118000</v>
      </c>
      <c r="M23" s="69">
        <f>15600+100000</f>
        <v>115600</v>
      </c>
      <c r="N23" s="69">
        <f>13500+21590+100000</f>
        <v>135090</v>
      </c>
      <c r="O23" s="28">
        <f t="shared" si="8"/>
        <v>1475256.87</v>
      </c>
    </row>
    <row r="24" spans="1:15" x14ac:dyDescent="0.35">
      <c r="A24" s="41" t="s">
        <v>30</v>
      </c>
      <c r="B24" s="57">
        <v>31000</v>
      </c>
      <c r="C24" s="68">
        <v>39453.199999999997</v>
      </c>
      <c r="D24" s="69">
        <f>79934.8+3402.5</f>
        <v>83337.3</v>
      </c>
      <c r="E24" s="69">
        <f>44919.2+3325+80000</f>
        <v>128244.2</v>
      </c>
      <c r="F24" s="69">
        <f>18709.4+3370+6880</f>
        <v>28959.4</v>
      </c>
      <c r="G24" s="69">
        <f>9274+27800+197140</f>
        <v>234214</v>
      </c>
      <c r="H24" s="69">
        <f>22306.2+21530</f>
        <v>43836.2</v>
      </c>
      <c r="I24" s="69">
        <v>14327</v>
      </c>
      <c r="J24" s="69">
        <f>5756.4</f>
        <v>5756.4</v>
      </c>
      <c r="K24" s="69">
        <f>11494.8+8145+14895</f>
        <v>34534.800000000003</v>
      </c>
      <c r="L24" s="69">
        <v>21019.4</v>
      </c>
      <c r="M24" s="69">
        <f>15411.8+40253.33+101500</f>
        <v>157165.13</v>
      </c>
      <c r="N24" s="69">
        <f>46218.11+32146.66+33466.67+10473.33</f>
        <v>122304.77</v>
      </c>
      <c r="O24" s="39">
        <f t="shared" si="8"/>
        <v>913151.80000000016</v>
      </c>
    </row>
    <row r="25" spans="1:15" ht="25" x14ac:dyDescent="0.35">
      <c r="A25" s="44" t="s">
        <v>31</v>
      </c>
      <c r="B25" s="57">
        <v>12000</v>
      </c>
      <c r="C25" s="68"/>
      <c r="D25" s="69"/>
      <c r="E25" s="69"/>
      <c r="F25" s="69">
        <v>50717.5</v>
      </c>
      <c r="G25" s="69">
        <f>7036.5+11167.5</f>
        <v>18204</v>
      </c>
      <c r="H25" s="69"/>
      <c r="I25" s="69"/>
      <c r="J25" s="69"/>
      <c r="K25" s="69"/>
      <c r="L25" s="69">
        <v>46640</v>
      </c>
      <c r="M25" s="69"/>
      <c r="N25" s="69"/>
      <c r="O25" s="39">
        <f t="shared" si="8"/>
        <v>115561.5</v>
      </c>
    </row>
    <row r="26" spans="1:15" ht="25" x14ac:dyDescent="0.35">
      <c r="A26" s="44" t="s">
        <v>32</v>
      </c>
      <c r="B26" s="56">
        <v>10000</v>
      </c>
      <c r="C26" s="68">
        <f>10091+140951.56</f>
        <v>151042.56</v>
      </c>
      <c r="D26" s="69">
        <f>63878+945.7+4023.68</f>
        <v>68847.37999999999</v>
      </c>
      <c r="E26" s="69"/>
      <c r="F26" s="69">
        <f>9490.5+1195</f>
        <v>10685.5</v>
      </c>
      <c r="G26" s="69">
        <f>18935+62663+15040</f>
        <v>96638</v>
      </c>
      <c r="H26" s="69">
        <v>60146</v>
      </c>
      <c r="I26" s="69"/>
      <c r="J26" s="69">
        <f>12793.34+84000</f>
        <v>96793.34</v>
      </c>
      <c r="K26" s="69">
        <f>47573.33</f>
        <v>47573.33</v>
      </c>
      <c r="L26" s="69">
        <v>20640</v>
      </c>
      <c r="M26" s="69">
        <v>3990</v>
      </c>
      <c r="N26" s="69"/>
      <c r="O26" s="39">
        <f t="shared" si="8"/>
        <v>556356.11</v>
      </c>
    </row>
    <row r="27" spans="1:15" ht="15" thickBot="1" x14ac:dyDescent="0.4">
      <c r="A27" s="44" t="s">
        <v>33</v>
      </c>
      <c r="B27" s="58">
        <v>15000</v>
      </c>
      <c r="C27" s="68">
        <v>25990</v>
      </c>
      <c r="D27" s="69"/>
      <c r="E27" s="69">
        <v>121525</v>
      </c>
      <c r="F27" s="69">
        <f>37050+21380</f>
        <v>58430</v>
      </c>
      <c r="G27" s="69"/>
      <c r="H27" s="69">
        <v>38716.25</v>
      </c>
      <c r="I27" s="69"/>
      <c r="J27" s="69">
        <v>10001.64</v>
      </c>
      <c r="K27" s="69">
        <v>25340</v>
      </c>
      <c r="L27" s="69">
        <v>24950</v>
      </c>
      <c r="M27" s="69">
        <f>17541.51+68250+1331.5</f>
        <v>87123.01</v>
      </c>
      <c r="N27" s="69">
        <f>68000+11105.74</f>
        <v>79105.740000000005</v>
      </c>
      <c r="O27" s="39">
        <f t="shared" si="8"/>
        <v>471181.64</v>
      </c>
    </row>
    <row r="28" spans="1:15" ht="15" thickBot="1" x14ac:dyDescent="0.4">
      <c r="A28" s="45" t="s">
        <v>105</v>
      </c>
      <c r="B28" s="60">
        <v>704000</v>
      </c>
      <c r="C28" s="71">
        <v>352000</v>
      </c>
      <c r="D28" s="71">
        <v>352000</v>
      </c>
      <c r="E28" s="71">
        <v>352000</v>
      </c>
      <c r="F28" s="71">
        <v>352000</v>
      </c>
      <c r="G28" s="71">
        <v>704000</v>
      </c>
      <c r="H28" s="71">
        <v>704000</v>
      </c>
      <c r="I28" s="71">
        <v>704000</v>
      </c>
      <c r="J28" s="71">
        <v>704000</v>
      </c>
      <c r="K28" s="71">
        <v>704000</v>
      </c>
      <c r="L28" s="71">
        <v>704000</v>
      </c>
      <c r="M28" s="71">
        <v>704000</v>
      </c>
      <c r="N28" s="71">
        <v>704000</v>
      </c>
      <c r="O28" s="28">
        <f>C28+D28+E28+F28+G28+H28+I28+J28+K28+L28+M28+N28</f>
        <v>7040000</v>
      </c>
    </row>
    <row r="29" spans="1:15" ht="15" thickBot="1" x14ac:dyDescent="0.4">
      <c r="A29" s="46" t="s">
        <v>106</v>
      </c>
      <c r="B29" s="61">
        <v>16500</v>
      </c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28">
        <f>C29+D29+E29+F29+G29+H29+I29+J29+K29+L29+M29+N29</f>
        <v>0</v>
      </c>
    </row>
    <row r="30" spans="1:15" ht="15" thickBot="1" x14ac:dyDescent="0.4">
      <c r="A30" s="46" t="s">
        <v>34</v>
      </c>
      <c r="B30" s="61">
        <v>22785.27</v>
      </c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28">
        <f t="shared" si="8"/>
        <v>0</v>
      </c>
    </row>
    <row r="31" spans="1:15" ht="15" thickBot="1" x14ac:dyDescent="0.4">
      <c r="A31" s="46" t="s">
        <v>35</v>
      </c>
      <c r="B31" s="61">
        <v>80000</v>
      </c>
      <c r="C31" s="71">
        <f>3500+91403.21</f>
        <v>94903.21</v>
      </c>
      <c r="D31" s="71">
        <f>1400+1400+4677.96+91403.21</f>
        <v>98881.170000000013</v>
      </c>
      <c r="E31" s="71">
        <f>1400+91403.21</f>
        <v>92803.21</v>
      </c>
      <c r="F31" s="71">
        <f>1400+1400+91403.21</f>
        <v>94203.21</v>
      </c>
      <c r="G31" s="71">
        <v>91403.21</v>
      </c>
      <c r="H31" s="71">
        <f>2800+91403.21</f>
        <v>94203.21</v>
      </c>
      <c r="I31" s="71">
        <f>1400+91403.21</f>
        <v>92803.21</v>
      </c>
      <c r="J31" s="71">
        <f>91403.21</f>
        <v>91403.21</v>
      </c>
      <c r="K31" s="71">
        <f>2100+91403.21</f>
        <v>93503.21</v>
      </c>
      <c r="L31" s="71">
        <f>1400+91403.21</f>
        <v>92803.21</v>
      </c>
      <c r="M31" s="71">
        <v>91403.21</v>
      </c>
      <c r="N31" s="71">
        <f>1400+144640+91403.21</f>
        <v>237443.21000000002</v>
      </c>
      <c r="O31" s="28">
        <f t="shared" si="8"/>
        <v>1265756.48</v>
      </c>
    </row>
    <row r="32" spans="1:15" ht="15" hidden="1" thickBot="1" x14ac:dyDescent="0.4">
      <c r="A32" s="47"/>
      <c r="B32" s="62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39">
        <f t="shared" si="8"/>
        <v>0</v>
      </c>
    </row>
    <row r="33" spans="1:15" ht="15" thickBot="1" x14ac:dyDescent="0.4">
      <c r="A33" s="48" t="s">
        <v>112</v>
      </c>
      <c r="B33" s="63">
        <f>B12+B15+B20+B28+B29+B32+B9+B31+B30</f>
        <v>2121478.3731034487</v>
      </c>
      <c r="C33" s="81">
        <f>C12+C15+C20+C28+C29+C32+C9+C31+C30</f>
        <v>2594512.85</v>
      </c>
      <c r="D33" s="81">
        <f t="shared" ref="D33:N33" si="10">D12+D15+D20+D28+D29+D32+D9+D31+D30</f>
        <v>2821844.04</v>
      </c>
      <c r="E33" s="81">
        <f t="shared" si="10"/>
        <v>2511163.0699999998</v>
      </c>
      <c r="F33" s="81">
        <f t="shared" si="10"/>
        <v>2684671.6</v>
      </c>
      <c r="G33" s="81">
        <f t="shared" si="10"/>
        <v>3354523.49</v>
      </c>
      <c r="H33" s="81">
        <f t="shared" si="10"/>
        <v>3408148.38</v>
      </c>
      <c r="I33" s="81">
        <f t="shared" si="10"/>
        <v>3129827.1799999997</v>
      </c>
      <c r="J33" s="81">
        <f t="shared" si="10"/>
        <v>3158387.18</v>
      </c>
      <c r="K33" s="81">
        <f t="shared" si="10"/>
        <v>3179833.93</v>
      </c>
      <c r="L33" s="81">
        <f t="shared" si="10"/>
        <v>3251966.2199999997</v>
      </c>
      <c r="M33" s="81">
        <f t="shared" si="10"/>
        <v>3247260.2800000003</v>
      </c>
      <c r="N33" s="81">
        <f t="shared" si="10"/>
        <v>3745853.05</v>
      </c>
      <c r="O33" s="63">
        <f>O12+O15+O20+O28+O29+O32+O9+O31+O30</f>
        <v>37087991.269999988</v>
      </c>
    </row>
    <row r="34" spans="1:15" x14ac:dyDescent="0.35"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</row>
    <row r="35" spans="1:15" x14ac:dyDescent="0.35">
      <c r="A35" t="s">
        <v>98</v>
      </c>
      <c r="C35" s="82">
        <f>C5-C33</f>
        <v>305801.73</v>
      </c>
      <c r="D35" s="82">
        <f t="shared" ref="D35:O35" si="11">D5-D33</f>
        <v>378013.93000000017</v>
      </c>
      <c r="E35" s="82">
        <f t="shared" si="11"/>
        <v>719114.67000000039</v>
      </c>
      <c r="F35" s="82">
        <f t="shared" si="11"/>
        <v>568962.5299999998</v>
      </c>
      <c r="G35" s="82">
        <f t="shared" si="11"/>
        <v>-16338.290000000037</v>
      </c>
      <c r="H35" s="82">
        <f t="shared" si="11"/>
        <v>-7889.25</v>
      </c>
      <c r="I35" s="82">
        <f t="shared" si="11"/>
        <v>335986.4700000002</v>
      </c>
      <c r="J35" s="82">
        <f t="shared" si="11"/>
        <v>353827.61999999965</v>
      </c>
      <c r="K35" s="82">
        <f t="shared" si="11"/>
        <v>467019.06999999983</v>
      </c>
      <c r="L35" s="82">
        <f>L5-L33</f>
        <v>1000734.9900000002</v>
      </c>
      <c r="M35" s="82">
        <f t="shared" si="11"/>
        <v>660778.76999999955</v>
      </c>
      <c r="N35" s="82">
        <f t="shared" si="11"/>
        <v>167280.41000000015</v>
      </c>
      <c r="O35" s="5">
        <f t="shared" si="11"/>
        <v>4441332.650000006</v>
      </c>
    </row>
    <row r="36" spans="1:15" x14ac:dyDescent="0.35">
      <c r="A36" t="s">
        <v>100</v>
      </c>
      <c r="C36" s="82">
        <f>C35*15%</f>
        <v>45870.259499999993</v>
      </c>
      <c r="D36" s="82">
        <f t="shared" ref="D36:O36" si="12">D35*15%</f>
        <v>56702.089500000024</v>
      </c>
      <c r="E36" s="82">
        <f t="shared" si="12"/>
        <v>107867.20050000005</v>
      </c>
      <c r="F36" s="82">
        <f t="shared" si="12"/>
        <v>85344.379499999966</v>
      </c>
      <c r="G36" s="82">
        <f t="shared" si="12"/>
        <v>-2450.7435000000055</v>
      </c>
      <c r="H36" s="82">
        <f t="shared" si="12"/>
        <v>-1183.3875</v>
      </c>
      <c r="I36" s="82">
        <f t="shared" si="12"/>
        <v>50397.970500000032</v>
      </c>
      <c r="J36" s="82">
        <f t="shared" si="12"/>
        <v>53074.142999999945</v>
      </c>
      <c r="K36" s="82">
        <f t="shared" si="12"/>
        <v>70052.860499999966</v>
      </c>
      <c r="L36" s="82">
        <f t="shared" si="12"/>
        <v>150110.24850000002</v>
      </c>
      <c r="M36" s="82">
        <f t="shared" si="12"/>
        <v>99116.815499999924</v>
      </c>
      <c r="N36" s="82">
        <f t="shared" si="12"/>
        <v>25092.061500000022</v>
      </c>
      <c r="O36" s="1">
        <f t="shared" si="12"/>
        <v>666199.89750000089</v>
      </c>
    </row>
    <row r="37" spans="1:15" x14ac:dyDescent="0.35">
      <c r="A37" t="s">
        <v>99</v>
      </c>
      <c r="C37" s="82">
        <f>C35-C36</f>
        <v>259931.4705</v>
      </c>
      <c r="D37" s="82">
        <f t="shared" ref="D37:N37" si="13">D35-D36</f>
        <v>321311.84050000017</v>
      </c>
      <c r="E37" s="82">
        <f t="shared" si="13"/>
        <v>611247.46950000036</v>
      </c>
      <c r="F37" s="82">
        <f t="shared" si="13"/>
        <v>483618.15049999981</v>
      </c>
      <c r="G37" s="82">
        <f t="shared" si="13"/>
        <v>-13887.546500000031</v>
      </c>
      <c r="H37" s="82">
        <f t="shared" si="13"/>
        <v>-6705.8625000000002</v>
      </c>
      <c r="I37" s="82">
        <f t="shared" si="13"/>
        <v>285588.49950000015</v>
      </c>
      <c r="J37" s="82">
        <f t="shared" si="13"/>
        <v>300753.47699999972</v>
      </c>
      <c r="K37" s="82">
        <f t="shared" si="13"/>
        <v>396966.20949999988</v>
      </c>
      <c r="L37" s="82">
        <f t="shared" si="13"/>
        <v>850624.74150000024</v>
      </c>
      <c r="M37" s="82">
        <f t="shared" si="13"/>
        <v>561661.95449999964</v>
      </c>
      <c r="N37" s="82">
        <f t="shared" si="13"/>
        <v>142188.34850000014</v>
      </c>
      <c r="O37" s="50">
        <f>O35-O36</f>
        <v>3775132.7525000051</v>
      </c>
    </row>
    <row r="39" spans="1:15" ht="47.25" customHeight="1" x14ac:dyDescent="0.45">
      <c r="A39" s="52" t="s">
        <v>102</v>
      </c>
      <c r="B39" s="49" t="s">
        <v>114</v>
      </c>
      <c r="C39" s="83"/>
      <c r="D39" s="83"/>
      <c r="E39" s="83" t="s">
        <v>101</v>
      </c>
      <c r="G39" s="83"/>
      <c r="H39" s="83"/>
      <c r="I39" s="84">
        <v>5215286.3099999996</v>
      </c>
    </row>
    <row r="40" spans="1:15" x14ac:dyDescent="0.35">
      <c r="I40" s="84"/>
    </row>
    <row r="42" spans="1:15" ht="18.5" x14ac:dyDescent="0.45">
      <c r="E42" s="85" t="s">
        <v>103</v>
      </c>
      <c r="I42" s="86">
        <f>SUM(I39:I41)</f>
        <v>5215286.3099999996</v>
      </c>
    </row>
    <row r="46" spans="1:15" ht="18.5" x14ac:dyDescent="0.45">
      <c r="J46" s="87"/>
    </row>
  </sheetData>
  <pageMargins left="0.70866141732283472" right="0.70866141732283472" top="0.74803149606299213" bottom="0.74803149606299213" header="0.31496062992125984" footer="0.31496062992125984"/>
  <pageSetup paperSize="9" scale="39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ДДС на 30.09.2022</vt:lpstr>
      <vt:lpstr>Лист2</vt:lpstr>
      <vt:lpstr>Лист1</vt:lpstr>
      <vt:lpstr>Отчет Образцово Юг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buh-d</dc:creator>
  <cp:lastModifiedBy>NGT</cp:lastModifiedBy>
  <cp:lastPrinted>2022-05-04T20:22:07Z</cp:lastPrinted>
  <dcterms:created xsi:type="dcterms:W3CDTF">2021-03-31T19:26:48Z</dcterms:created>
  <dcterms:modified xsi:type="dcterms:W3CDTF">2022-11-07T14:27:29Z</dcterms:modified>
</cp:coreProperties>
</file>